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overnosp.sharepoint.com/teams/CPP-CPP-ESTRUTURAO77/Shared Documents/Parque Bruno Covas/06. Modelagem Definitiva/"/>
    </mc:Choice>
  </mc:AlternateContent>
  <xr:revisionPtr revIDLastSave="308" documentId="8_{A0F09B11-DB48-464D-9735-4FE30963C3F4}" xr6:coauthVersionLast="47" xr6:coauthVersionMax="47" xr10:uidLastSave="{32BCD35F-6D3D-44FA-B848-D83227A1B554}"/>
  <bookViews>
    <workbookView xWindow="16125" yWindow="-16320" windowWidth="29040" windowHeight="16440" tabRatio="763" xr2:uid="{CA71A474-B017-4F9B-93ED-2C0032970634}"/>
  </bookViews>
  <sheets>
    <sheet name="Introdução" sheetId="1" r:id="rId1"/>
    <sheet name="Painel" sheetId="2" r:id="rId2"/>
    <sheet name="DRE" sheetId="3" r:id="rId3"/>
    <sheet name="Gráfico Despesas e Custos" sheetId="10" r:id="rId4"/>
    <sheet name="Despesas e Custos" sheetId="6" r:id="rId5"/>
    <sheet name="Gráfico Investimentos" sheetId="11" r:id="rId6"/>
    <sheet name="Investimentos" sheetId="7" r:id="rId7"/>
    <sheet name="Tributos" sheetId="8" r:id="rId8"/>
    <sheet name="Gráfico Receitas" sheetId="12" r:id="rId9"/>
    <sheet name="Receitas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2" l="1"/>
  <c r="L11" i="9"/>
  <c r="L12" i="9" s="1"/>
  <c r="M12" i="9" s="1"/>
  <c r="G32" i="9"/>
  <c r="AW45" i="8"/>
  <c r="AV45" i="8"/>
  <c r="AU45" i="8"/>
  <c r="AT45" i="8"/>
  <c r="AS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H23" i="3"/>
  <c r="F23" i="3" s="1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I38" i="9"/>
  <c r="H38" i="9"/>
  <c r="J36" i="9"/>
  <c r="I36" i="9"/>
  <c r="H36" i="9"/>
  <c r="G40" i="9"/>
  <c r="G39" i="9"/>
  <c r="G38" i="9"/>
  <c r="G37" i="9"/>
  <c r="G36" i="9"/>
  <c r="E11" i="9"/>
  <c r="I11" i="9" s="1"/>
  <c r="K11" i="9" s="1"/>
  <c r="K16" i="9" s="1"/>
  <c r="C7" i="9"/>
  <c r="G7" i="9" s="1"/>
  <c r="D37" i="9" s="1"/>
  <c r="G31" i="9"/>
  <c r="D40" i="9" s="1"/>
  <c r="F26" i="9"/>
  <c r="F25" i="9"/>
  <c r="F24" i="9"/>
  <c r="E20" i="9"/>
  <c r="D20" i="9"/>
  <c r="I15" i="9"/>
  <c r="K15" i="9" s="1"/>
  <c r="I14" i="9"/>
  <c r="K14" i="9" s="1"/>
  <c r="K13" i="9"/>
  <c r="I13" i="9"/>
  <c r="I12" i="9"/>
  <c r="K12" i="9" s="1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B21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9" i="7"/>
  <c r="D18" i="7"/>
  <c r="D17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4" i="7"/>
  <c r="D15" i="7"/>
  <c r="D16" i="7"/>
  <c r="C19" i="7"/>
  <c r="C18" i="7"/>
  <c r="C17" i="7"/>
  <c r="C16" i="7"/>
  <c r="C15" i="7"/>
  <c r="B17" i="7"/>
  <c r="A19" i="7"/>
  <c r="A18" i="7"/>
  <c r="A17" i="7"/>
  <c r="A16" i="7"/>
  <c r="A15" i="7"/>
  <c r="AY14" i="7"/>
  <c r="AU14" i="7"/>
  <c r="AQ14" i="7"/>
  <c r="AM14" i="7"/>
  <c r="AI14" i="7"/>
  <c r="AE14" i="7"/>
  <c r="AA14" i="7"/>
  <c r="W14" i="7"/>
  <c r="S14" i="7"/>
  <c r="O14" i="7"/>
  <c r="K14" i="7"/>
  <c r="G14" i="7"/>
  <c r="C14" i="7"/>
  <c r="A14" i="7"/>
  <c r="E3" i="7"/>
  <c r="B14" i="7" s="1"/>
  <c r="E8" i="7"/>
  <c r="B19" i="7" s="1"/>
  <c r="E7" i="7"/>
  <c r="B18" i="7" s="1"/>
  <c r="E6" i="7"/>
  <c r="E5" i="7"/>
  <c r="B16" i="7" s="1"/>
  <c r="H4" i="7"/>
  <c r="E4" i="7"/>
  <c r="B15" i="7" s="1"/>
  <c r="H3" i="7"/>
  <c r="AX14" i="7" s="1"/>
  <c r="N37" i="6"/>
  <c r="M37" i="6"/>
  <c r="L37" i="6"/>
  <c r="K37" i="6"/>
  <c r="J37" i="6"/>
  <c r="I37" i="6"/>
  <c r="H37" i="6"/>
  <c r="G37" i="6"/>
  <c r="F37" i="6"/>
  <c r="K3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B40" i="6"/>
  <c r="B37" i="6"/>
  <c r="AZ37" i="6" s="1"/>
  <c r="A41" i="6"/>
  <c r="A40" i="6"/>
  <c r="A39" i="6"/>
  <c r="A38" i="6"/>
  <c r="A37" i="6"/>
  <c r="B31" i="6"/>
  <c r="K7" i="6" s="1"/>
  <c r="B41" i="6" s="1"/>
  <c r="K4" i="6"/>
  <c r="B38" i="6" s="1"/>
  <c r="G20" i="6"/>
  <c r="K6" i="6" s="1"/>
  <c r="E26" i="6"/>
  <c r="E25" i="6"/>
  <c r="G17" i="6"/>
  <c r="G10" i="6"/>
  <c r="G8" i="6"/>
  <c r="G6" i="6"/>
  <c r="G4" i="6"/>
  <c r="C40" i="6" l="1"/>
  <c r="L6" i="6" s="1"/>
  <c r="M11" i="9"/>
  <c r="L13" i="9"/>
  <c r="AU40" i="9"/>
  <c r="L40" i="9"/>
  <c r="AJ40" i="9"/>
  <c r="AV40" i="9"/>
  <c r="X40" i="9"/>
  <c r="AW37" i="9"/>
  <c r="AK37" i="9"/>
  <c r="Y37" i="9"/>
  <c r="M37" i="9"/>
  <c r="I37" i="9"/>
  <c r="J37" i="9"/>
  <c r="AV37" i="9"/>
  <c r="AJ37" i="9"/>
  <c r="X37" i="9"/>
  <c r="L37" i="9"/>
  <c r="H37" i="9"/>
  <c r="AU37" i="9"/>
  <c r="AI37" i="9"/>
  <c r="W37" i="9"/>
  <c r="AN37" i="9"/>
  <c r="N37" i="9"/>
  <c r="AT37" i="9"/>
  <c r="AH37" i="9"/>
  <c r="V37" i="9"/>
  <c r="O37" i="9"/>
  <c r="AS37" i="9"/>
  <c r="AG37" i="9"/>
  <c r="U37" i="9"/>
  <c r="AZ37" i="9"/>
  <c r="Z37" i="9"/>
  <c r="AR37" i="9"/>
  <c r="AF37" i="9"/>
  <c r="T37" i="9"/>
  <c r="P37" i="9"/>
  <c r="AQ37" i="9"/>
  <c r="AE37" i="9"/>
  <c r="S37" i="9"/>
  <c r="AB37" i="9"/>
  <c r="AY37" i="9"/>
  <c r="AX37" i="9"/>
  <c r="BB37" i="9"/>
  <c r="AP37" i="9"/>
  <c r="AD37" i="9"/>
  <c r="R37" i="9"/>
  <c r="BA37" i="9"/>
  <c r="AO37" i="9"/>
  <c r="AC37" i="9"/>
  <c r="Q37" i="9"/>
  <c r="K37" i="9"/>
  <c r="AL37" i="9"/>
  <c r="AM37" i="9"/>
  <c r="AA37" i="9"/>
  <c r="AK40" i="9"/>
  <c r="AW40" i="9"/>
  <c r="N40" i="9"/>
  <c r="Z40" i="9"/>
  <c r="AL40" i="9"/>
  <c r="AX40" i="9"/>
  <c r="F20" i="9"/>
  <c r="D38" i="9" s="1"/>
  <c r="O40" i="9"/>
  <c r="AA40" i="9"/>
  <c r="AM40" i="9"/>
  <c r="AY40" i="9"/>
  <c r="P40" i="9"/>
  <c r="AB40" i="9"/>
  <c r="AN40" i="9"/>
  <c r="AZ40" i="9"/>
  <c r="Q40" i="9"/>
  <c r="AC40" i="9"/>
  <c r="AO40" i="9"/>
  <c r="BA40" i="9"/>
  <c r="M40" i="9"/>
  <c r="H40" i="9"/>
  <c r="R40" i="9"/>
  <c r="AD40" i="9"/>
  <c r="AP40" i="9"/>
  <c r="BB40" i="9"/>
  <c r="I40" i="9"/>
  <c r="S40" i="9"/>
  <c r="AE40" i="9"/>
  <c r="AQ40" i="9"/>
  <c r="J40" i="9"/>
  <c r="T40" i="9"/>
  <c r="AF40" i="9"/>
  <c r="AR40" i="9"/>
  <c r="Y40" i="9"/>
  <c r="K40" i="9"/>
  <c r="U40" i="9"/>
  <c r="AG40" i="9"/>
  <c r="AS40" i="9"/>
  <c r="V40" i="9"/>
  <c r="AH40" i="9"/>
  <c r="AT40" i="9"/>
  <c r="W40" i="9"/>
  <c r="AI40" i="9"/>
  <c r="F22" i="3"/>
  <c r="K5" i="6"/>
  <c r="B39" i="6" s="1"/>
  <c r="AW39" i="6" s="1"/>
  <c r="G42" i="9"/>
  <c r="H8" i="3" s="1"/>
  <c r="F27" i="9"/>
  <c r="D40" i="6"/>
  <c r="M6" i="6" s="1"/>
  <c r="H14" i="7"/>
  <c r="L14" i="7"/>
  <c r="P14" i="7"/>
  <c r="T14" i="7"/>
  <c r="X14" i="7"/>
  <c r="AB14" i="7"/>
  <c r="AF14" i="7"/>
  <c r="AJ14" i="7"/>
  <c r="AN14" i="7"/>
  <c r="AR14" i="7"/>
  <c r="AV14" i="7"/>
  <c r="E14" i="7"/>
  <c r="I14" i="7"/>
  <c r="M14" i="7"/>
  <c r="Q14" i="7"/>
  <c r="U14" i="7"/>
  <c r="Y14" i="7"/>
  <c r="AC14" i="7"/>
  <c r="AG14" i="7"/>
  <c r="AK14" i="7"/>
  <c r="AO14" i="7"/>
  <c r="AS14" i="7"/>
  <c r="AW14" i="7"/>
  <c r="F14" i="7"/>
  <c r="J14" i="7"/>
  <c r="N14" i="7"/>
  <c r="R14" i="7"/>
  <c r="V14" i="7"/>
  <c r="Z14" i="7"/>
  <c r="AD14" i="7"/>
  <c r="AH14" i="7"/>
  <c r="AL14" i="7"/>
  <c r="AP14" i="7"/>
  <c r="AT14" i="7"/>
  <c r="AY38" i="6"/>
  <c r="AU38" i="6"/>
  <c r="AQ38" i="6"/>
  <c r="AM38" i="6"/>
  <c r="AI38" i="6"/>
  <c r="AE38" i="6"/>
  <c r="AA38" i="6"/>
  <c r="W38" i="6"/>
  <c r="S38" i="6"/>
  <c r="O38" i="6"/>
  <c r="K38" i="6"/>
  <c r="G38" i="6"/>
  <c r="F38" i="6"/>
  <c r="AZ38" i="6"/>
  <c r="AJ38" i="6"/>
  <c r="X38" i="6"/>
  <c r="L38" i="6"/>
  <c r="AX38" i="6"/>
  <c r="AT38" i="6"/>
  <c r="AP38" i="6"/>
  <c r="AL38" i="6"/>
  <c r="AH38" i="6"/>
  <c r="AD38" i="6"/>
  <c r="Z38" i="6"/>
  <c r="V38" i="6"/>
  <c r="R38" i="6"/>
  <c r="N38" i="6"/>
  <c r="J38" i="6"/>
  <c r="AR38" i="6"/>
  <c r="AF38" i="6"/>
  <c r="T38" i="6"/>
  <c r="H38" i="6"/>
  <c r="BA38" i="6"/>
  <c r="AW38" i="6"/>
  <c r="AS38" i="6"/>
  <c r="AO38" i="6"/>
  <c r="AK38" i="6"/>
  <c r="AG38" i="6"/>
  <c r="AC38" i="6"/>
  <c r="Y38" i="6"/>
  <c r="U38" i="6"/>
  <c r="Q38" i="6"/>
  <c r="M38" i="6"/>
  <c r="I38" i="6"/>
  <c r="AV38" i="6"/>
  <c r="AN38" i="6"/>
  <c r="AB38" i="6"/>
  <c r="P38" i="6"/>
  <c r="AX41" i="6"/>
  <c r="AT41" i="6"/>
  <c r="AP41" i="6"/>
  <c r="AL41" i="6"/>
  <c r="AH41" i="6"/>
  <c r="AD41" i="6"/>
  <c r="Z41" i="6"/>
  <c r="V41" i="6"/>
  <c r="R41" i="6"/>
  <c r="N41" i="6"/>
  <c r="J41" i="6"/>
  <c r="F41" i="6"/>
  <c r="AV41" i="6"/>
  <c r="AR41" i="6"/>
  <c r="AJ41" i="6"/>
  <c r="AB41" i="6"/>
  <c r="T41" i="6"/>
  <c r="L41" i="6"/>
  <c r="AU41" i="6"/>
  <c r="AQ41" i="6"/>
  <c r="AI41" i="6"/>
  <c r="AA41" i="6"/>
  <c r="S41" i="6"/>
  <c r="K41" i="6"/>
  <c r="BA41" i="6"/>
  <c r="AW41" i="6"/>
  <c r="AS41" i="6"/>
  <c r="AO41" i="6"/>
  <c r="AK41" i="6"/>
  <c r="AG41" i="6"/>
  <c r="AC41" i="6"/>
  <c r="Y41" i="6"/>
  <c r="U41" i="6"/>
  <c r="Q41" i="6"/>
  <c r="M41" i="6"/>
  <c r="I41" i="6"/>
  <c r="AZ41" i="6"/>
  <c r="AN41" i="6"/>
  <c r="AF41" i="6"/>
  <c r="X41" i="6"/>
  <c r="P41" i="6"/>
  <c r="H41" i="6"/>
  <c r="AY41" i="6"/>
  <c r="AM41" i="6"/>
  <c r="AE41" i="6"/>
  <c r="W41" i="6"/>
  <c r="O41" i="6"/>
  <c r="G41" i="6"/>
  <c r="AK37" i="6"/>
  <c r="O37" i="6"/>
  <c r="W37" i="6"/>
  <c r="AE37" i="6"/>
  <c r="AM37" i="6"/>
  <c r="AU37" i="6"/>
  <c r="U37" i="6"/>
  <c r="AS37" i="6"/>
  <c r="Q37" i="6"/>
  <c r="Y37" i="6"/>
  <c r="AG37" i="6"/>
  <c r="AO37" i="6"/>
  <c r="AW37" i="6"/>
  <c r="AC37" i="6"/>
  <c r="S37" i="6"/>
  <c r="AA37" i="6"/>
  <c r="AI37" i="6"/>
  <c r="AQ37" i="6"/>
  <c r="BA37" i="6"/>
  <c r="R37" i="6"/>
  <c r="V37" i="6"/>
  <c r="Z37" i="6"/>
  <c r="AD37" i="6"/>
  <c r="AH37" i="6"/>
  <c r="AL37" i="6"/>
  <c r="AP37" i="6"/>
  <c r="AT37" i="6"/>
  <c r="AX37" i="6"/>
  <c r="AY37" i="6"/>
  <c r="P37" i="6"/>
  <c r="T37" i="6"/>
  <c r="X37" i="6"/>
  <c r="AB37" i="6"/>
  <c r="AF37" i="6"/>
  <c r="AJ37" i="6"/>
  <c r="AN37" i="6"/>
  <c r="AR37" i="6"/>
  <c r="AV37" i="6"/>
  <c r="L14" i="9" l="1"/>
  <c r="M13" i="9"/>
  <c r="E40" i="9"/>
  <c r="F40" i="9" s="1"/>
  <c r="BB38" i="9"/>
  <c r="AP38" i="9"/>
  <c r="AD38" i="9"/>
  <c r="R38" i="9"/>
  <c r="AF38" i="9"/>
  <c r="BA38" i="9"/>
  <c r="AO38" i="9"/>
  <c r="AC38" i="9"/>
  <c r="Q38" i="9"/>
  <c r="AZ38" i="9"/>
  <c r="AN38" i="9"/>
  <c r="AB38" i="9"/>
  <c r="P38" i="9"/>
  <c r="AY38" i="9"/>
  <c r="AM38" i="9"/>
  <c r="AA38" i="9"/>
  <c r="O38" i="9"/>
  <c r="AQ38" i="9"/>
  <c r="AX38" i="9"/>
  <c r="AL38" i="9"/>
  <c r="Z38" i="9"/>
  <c r="N38" i="9"/>
  <c r="T38" i="9"/>
  <c r="AW38" i="9"/>
  <c r="AK38" i="9"/>
  <c r="Y38" i="9"/>
  <c r="M38" i="9"/>
  <c r="S38" i="9"/>
  <c r="AV38" i="9"/>
  <c r="AJ38" i="9"/>
  <c r="X38" i="9"/>
  <c r="L38" i="9"/>
  <c r="K38" i="9"/>
  <c r="E38" i="9" s="1"/>
  <c r="F38" i="9" s="1"/>
  <c r="AU38" i="9"/>
  <c r="AI38" i="9"/>
  <c r="W38" i="9"/>
  <c r="J38" i="9"/>
  <c r="AR38" i="9"/>
  <c r="AT38" i="9"/>
  <c r="AH38" i="9"/>
  <c r="V38" i="9"/>
  <c r="AG38" i="9"/>
  <c r="AS38" i="9"/>
  <c r="U38" i="9"/>
  <c r="AE38" i="9"/>
  <c r="B77" i="8"/>
  <c r="B76" i="8"/>
  <c r="AB39" i="6"/>
  <c r="AB43" i="6" s="1"/>
  <c r="AD11" i="3" s="1"/>
  <c r="AR39" i="6"/>
  <c r="AS39" i="6"/>
  <c r="AS43" i="6" s="1"/>
  <c r="AU11" i="3" s="1"/>
  <c r="AL39" i="6"/>
  <c r="W39" i="6"/>
  <c r="W43" i="6" s="1"/>
  <c r="Y11" i="3" s="1"/>
  <c r="T39" i="6"/>
  <c r="T43" i="6" s="1"/>
  <c r="V11" i="3" s="1"/>
  <c r="AN39" i="6"/>
  <c r="AN43" i="6" s="1"/>
  <c r="AP11" i="3" s="1"/>
  <c r="AI39" i="6"/>
  <c r="AI43" i="6" s="1"/>
  <c r="AK11" i="3" s="1"/>
  <c r="AF39" i="6"/>
  <c r="AF43" i="6" s="1"/>
  <c r="AH11" i="3" s="1"/>
  <c r="AH39" i="6"/>
  <c r="AH43" i="6" s="1"/>
  <c r="AJ11" i="3" s="1"/>
  <c r="AC39" i="6"/>
  <c r="AC43" i="6" s="1"/>
  <c r="AE11" i="3" s="1"/>
  <c r="AD39" i="6"/>
  <c r="AD43" i="6" s="1"/>
  <c r="AF11" i="3" s="1"/>
  <c r="AU39" i="6"/>
  <c r="H39" i="6"/>
  <c r="AP39" i="6"/>
  <c r="AP43" i="6" s="1"/>
  <c r="AR11" i="3" s="1"/>
  <c r="L39" i="6"/>
  <c r="L43" i="6" s="1"/>
  <c r="N11" i="3" s="1"/>
  <c r="AY39" i="6"/>
  <c r="P39" i="6"/>
  <c r="P43" i="6" s="1"/>
  <c r="R11" i="3" s="1"/>
  <c r="F39" i="6"/>
  <c r="F43" i="6" s="1"/>
  <c r="H11" i="3" s="1"/>
  <c r="H12" i="3" s="1"/>
  <c r="H13" i="3" s="1"/>
  <c r="R39" i="6"/>
  <c r="R43" i="6" s="1"/>
  <c r="T11" i="3" s="1"/>
  <c r="AA39" i="6"/>
  <c r="AA43" i="6" s="1"/>
  <c r="AC11" i="3" s="1"/>
  <c r="AX39" i="6"/>
  <c r="AX43" i="6" s="1"/>
  <c r="AZ11" i="3" s="1"/>
  <c r="X39" i="6"/>
  <c r="X43" i="6" s="1"/>
  <c r="Z11" i="3" s="1"/>
  <c r="AM39" i="6"/>
  <c r="AM43" i="6" s="1"/>
  <c r="AO11" i="3" s="1"/>
  <c r="AE39" i="6"/>
  <c r="AE43" i="6" s="1"/>
  <c r="AG11" i="3" s="1"/>
  <c r="AJ39" i="6"/>
  <c r="AV39" i="6"/>
  <c r="AV43" i="6" s="1"/>
  <c r="AX11" i="3" s="1"/>
  <c r="AO39" i="6"/>
  <c r="AO43" i="6" s="1"/>
  <c r="AQ11" i="3" s="1"/>
  <c r="AG39" i="6"/>
  <c r="AG43" i="6" s="1"/>
  <c r="AI11" i="3" s="1"/>
  <c r="U39" i="6"/>
  <c r="U43" i="6" s="1"/>
  <c r="W11" i="3" s="1"/>
  <c r="AY43" i="6"/>
  <c r="BA11" i="3" s="1"/>
  <c r="AK43" i="6"/>
  <c r="AM11" i="3" s="1"/>
  <c r="BA39" i="6"/>
  <c r="BA43" i="6" s="1"/>
  <c r="BC11" i="3" s="1"/>
  <c r="J39" i="6"/>
  <c r="J43" i="6" s="1"/>
  <c r="L11" i="3" s="1"/>
  <c r="M39" i="6"/>
  <c r="M43" i="6" s="1"/>
  <c r="O11" i="3" s="1"/>
  <c r="O39" i="6"/>
  <c r="O43" i="6" s="1"/>
  <c r="Q11" i="3" s="1"/>
  <c r="N39" i="6"/>
  <c r="N43" i="6" s="1"/>
  <c r="P11" i="3" s="1"/>
  <c r="V39" i="6"/>
  <c r="V43" i="6" s="1"/>
  <c r="X11" i="3" s="1"/>
  <c r="AK39" i="6"/>
  <c r="AL43" i="6"/>
  <c r="AN11" i="3" s="1"/>
  <c r="AZ39" i="6"/>
  <c r="AZ43" i="6" s="1"/>
  <c r="BB11" i="3" s="1"/>
  <c r="G39" i="6"/>
  <c r="G43" i="6" s="1"/>
  <c r="I11" i="3" s="1"/>
  <c r="AT39" i="6"/>
  <c r="AT43" i="6" s="1"/>
  <c r="AV11" i="3" s="1"/>
  <c r="Z39" i="6"/>
  <c r="Z43" i="6" s="1"/>
  <c r="AB11" i="3" s="1"/>
  <c r="S39" i="6"/>
  <c r="S43" i="6" s="1"/>
  <c r="U11" i="3" s="1"/>
  <c r="I39" i="6"/>
  <c r="I43" i="6" s="1"/>
  <c r="K11" i="3" s="1"/>
  <c r="Y39" i="6"/>
  <c r="Y43" i="6" s="1"/>
  <c r="AA11" i="3" s="1"/>
  <c r="Q39" i="6"/>
  <c r="Q43" i="6" s="1"/>
  <c r="S11" i="3" s="1"/>
  <c r="AQ39" i="6"/>
  <c r="AQ43" i="6" s="1"/>
  <c r="AS11" i="3" s="1"/>
  <c r="K39" i="6"/>
  <c r="K43" i="6" s="1"/>
  <c r="M11" i="3" s="1"/>
  <c r="AJ43" i="6"/>
  <c r="AL11" i="3" s="1"/>
  <c r="K36" i="9"/>
  <c r="E37" i="9"/>
  <c r="F37" i="9" s="1"/>
  <c r="AR43" i="6"/>
  <c r="AT11" i="3" s="1"/>
  <c r="AW43" i="6"/>
  <c r="AY11" i="3" s="1"/>
  <c r="H43" i="6"/>
  <c r="J11" i="3" s="1"/>
  <c r="AU43" i="6"/>
  <c r="AW11" i="3" s="1"/>
  <c r="C37" i="6"/>
  <c r="L3" i="6" s="1"/>
  <c r="D41" i="6"/>
  <c r="M7" i="6" s="1"/>
  <c r="C41" i="6"/>
  <c r="L7" i="6" s="1"/>
  <c r="D37" i="6"/>
  <c r="D38" i="6"/>
  <c r="M4" i="6" s="1"/>
  <c r="C38" i="6"/>
  <c r="L4" i="6" s="1"/>
  <c r="B43" i="8" l="1"/>
  <c r="B15" i="8"/>
  <c r="M3" i="6"/>
  <c r="L15" i="9"/>
  <c r="M15" i="9" s="1"/>
  <c r="M14" i="9"/>
  <c r="B78" i="8"/>
  <c r="H9" i="3" s="1"/>
  <c r="D39" i="6"/>
  <c r="M5" i="6" s="1"/>
  <c r="C39" i="6"/>
  <c r="L5" i="6" s="1"/>
  <c r="F11" i="3"/>
  <c r="D43" i="6" l="1"/>
  <c r="C16" i="2" s="1"/>
  <c r="M16" i="9"/>
  <c r="F28" i="9" s="1"/>
  <c r="D39" i="9" s="1"/>
  <c r="C43" i="6"/>
  <c r="B16" i="2" s="1"/>
  <c r="B50" i="8"/>
  <c r="D36" i="9" l="1"/>
  <c r="AL39" i="9"/>
  <c r="S39" i="9"/>
  <c r="AJ39" i="9"/>
  <c r="Y39" i="9"/>
  <c r="AH39" i="9"/>
  <c r="W39" i="9"/>
  <c r="AZ39" i="9"/>
  <c r="AD39" i="9"/>
  <c r="H39" i="9"/>
  <c r="AB39" i="9"/>
  <c r="Q39" i="9"/>
  <c r="AU39" i="9"/>
  <c r="AM39" i="9"/>
  <c r="AE39" i="9"/>
  <c r="M39" i="9"/>
  <c r="AQ39" i="9"/>
  <c r="V39" i="9"/>
  <c r="AX39" i="9"/>
  <c r="T39" i="9"/>
  <c r="AV39" i="9"/>
  <c r="AW39" i="9"/>
  <c r="BB39" i="9"/>
  <c r="N39" i="9"/>
  <c r="AP39" i="9"/>
  <c r="L39" i="9"/>
  <c r="AF39" i="9"/>
  <c r="R39" i="9"/>
  <c r="AN39" i="9"/>
  <c r="AC39" i="9"/>
  <c r="AA39" i="9"/>
  <c r="U39" i="9"/>
  <c r="K39" i="9"/>
  <c r="K42" i="9" s="1"/>
  <c r="L8" i="3" s="1"/>
  <c r="Z39" i="9"/>
  <c r="I39" i="9"/>
  <c r="I42" i="9" s="1"/>
  <c r="J8" i="3" s="1"/>
  <c r="P39" i="9"/>
  <c r="AY39" i="9"/>
  <c r="AI39" i="9"/>
  <c r="X39" i="9"/>
  <c r="O39" i="9"/>
  <c r="BA39" i="9"/>
  <c r="AT39" i="9"/>
  <c r="AS39" i="9"/>
  <c r="AG39" i="9"/>
  <c r="AK39" i="9"/>
  <c r="AR39" i="9"/>
  <c r="AO39" i="9"/>
  <c r="J39" i="9"/>
  <c r="J42" i="9" s="1"/>
  <c r="K8" i="3" s="1"/>
  <c r="B8" i="8"/>
  <c r="B9" i="8" s="1"/>
  <c r="B10" i="8" s="1"/>
  <c r="B22" i="8"/>
  <c r="B55" i="8"/>
  <c r="B54" i="8"/>
  <c r="Z36" i="9" l="1"/>
  <c r="Z42" i="9" s="1"/>
  <c r="AA8" i="3" s="1"/>
  <c r="U76" i="8" s="1"/>
  <c r="AW36" i="9"/>
  <c r="AW42" i="9" s="1"/>
  <c r="AX8" i="3" s="1"/>
  <c r="AT36" i="9"/>
  <c r="AT42" i="9" s="1"/>
  <c r="AU8" i="3" s="1"/>
  <c r="BA36" i="9"/>
  <c r="BA42" i="9" s="1"/>
  <c r="BB8" i="3" s="1"/>
  <c r="AV76" i="8" s="1"/>
  <c r="AV36" i="9"/>
  <c r="AV42" i="9" s="1"/>
  <c r="AW8" i="3" s="1"/>
  <c r="AY36" i="9"/>
  <c r="AY42" i="9" s="1"/>
  <c r="AZ8" i="3" s="1"/>
  <c r="AB36" i="9"/>
  <c r="AB42" i="9" s="1"/>
  <c r="AC8" i="3" s="1"/>
  <c r="W77" i="8" s="1"/>
  <c r="AG36" i="9"/>
  <c r="AG42" i="9" s="1"/>
  <c r="AH8" i="3" s="1"/>
  <c r="AN36" i="9"/>
  <c r="AN42" i="9" s="1"/>
  <c r="AO8" i="3" s="1"/>
  <c r="AI76" i="8" s="1"/>
  <c r="AR36" i="9"/>
  <c r="AR42" i="9" s="1"/>
  <c r="AS8" i="3" s="1"/>
  <c r="W36" i="9"/>
  <c r="W42" i="9" s="1"/>
  <c r="X8" i="3" s="1"/>
  <c r="O36" i="9"/>
  <c r="O42" i="9" s="1"/>
  <c r="P8" i="3" s="1"/>
  <c r="P36" i="9"/>
  <c r="P42" i="9" s="1"/>
  <c r="Q8" i="3" s="1"/>
  <c r="L36" i="9"/>
  <c r="L42" i="9" s="1"/>
  <c r="M8" i="3" s="1"/>
  <c r="AM36" i="9"/>
  <c r="AM42" i="9" s="1"/>
  <c r="AN8" i="3" s="1"/>
  <c r="AU36" i="9"/>
  <c r="AU42" i="9" s="1"/>
  <c r="AV8" i="3" s="1"/>
  <c r="AL36" i="9"/>
  <c r="AL42" i="9" s="1"/>
  <c r="AM8" i="3" s="1"/>
  <c r="AG77" i="8" s="1"/>
  <c r="BB36" i="9"/>
  <c r="BB42" i="9" s="1"/>
  <c r="BC8" i="3" s="1"/>
  <c r="AQ36" i="9"/>
  <c r="AQ42" i="9" s="1"/>
  <c r="AR8" i="3" s="1"/>
  <c r="S36" i="9"/>
  <c r="S42" i="9" s="1"/>
  <c r="T8" i="3" s="1"/>
  <c r="AJ36" i="9"/>
  <c r="AJ42" i="9" s="1"/>
  <c r="AK8" i="3" s="1"/>
  <c r="AX36" i="9"/>
  <c r="AX42" i="9" s="1"/>
  <c r="AY8" i="3" s="1"/>
  <c r="AS77" i="8" s="1"/>
  <c r="V36" i="9"/>
  <c r="V42" i="9" s="1"/>
  <c r="W8" i="3" s="1"/>
  <c r="AE36" i="9"/>
  <c r="AE42" i="9" s="1"/>
  <c r="AF8" i="3" s="1"/>
  <c r="AO36" i="9"/>
  <c r="AO42" i="9" s="1"/>
  <c r="AP8" i="3" s="1"/>
  <c r="AK36" i="9"/>
  <c r="AK42" i="9" s="1"/>
  <c r="AL8" i="3" s="1"/>
  <c r="AS36" i="9"/>
  <c r="AS42" i="9" s="1"/>
  <c r="AT8" i="3" s="1"/>
  <c r="AC36" i="9"/>
  <c r="AC42" i="9" s="1"/>
  <c r="AD8" i="3" s="1"/>
  <c r="AZ36" i="9"/>
  <c r="AZ42" i="9" s="1"/>
  <c r="BA8" i="3" s="1"/>
  <c r="AF36" i="9"/>
  <c r="AF42" i="9" s="1"/>
  <c r="AG8" i="3" s="1"/>
  <c r="AA77" i="8" s="1"/>
  <c r="X36" i="9"/>
  <c r="X42" i="9" s="1"/>
  <c r="Y8" i="3" s="1"/>
  <c r="M36" i="9"/>
  <c r="M42" i="9" s="1"/>
  <c r="N8" i="3" s="1"/>
  <c r="AD36" i="9"/>
  <c r="AD42" i="9" s="1"/>
  <c r="AE8" i="3" s="1"/>
  <c r="N36" i="9"/>
  <c r="N42" i="9" s="1"/>
  <c r="O8" i="3" s="1"/>
  <c r="Y36" i="9"/>
  <c r="Y42" i="9" s="1"/>
  <c r="Z8" i="3" s="1"/>
  <c r="T36" i="9"/>
  <c r="T42" i="9" s="1"/>
  <c r="U8" i="3" s="1"/>
  <c r="AP36" i="9"/>
  <c r="AP42" i="9" s="1"/>
  <c r="AQ8" i="3" s="1"/>
  <c r="AK77" i="8" s="1"/>
  <c r="AI36" i="9"/>
  <c r="AI42" i="9" s="1"/>
  <c r="AJ8" i="3" s="1"/>
  <c r="AA36" i="9"/>
  <c r="AA42" i="9" s="1"/>
  <c r="AB8" i="3" s="1"/>
  <c r="R36" i="9"/>
  <c r="R42" i="9" s="1"/>
  <c r="S8" i="3" s="1"/>
  <c r="U36" i="9"/>
  <c r="U42" i="9" s="1"/>
  <c r="V8" i="3" s="1"/>
  <c r="Q36" i="9"/>
  <c r="Q42" i="9" s="1"/>
  <c r="R8" i="3" s="1"/>
  <c r="AH36" i="9"/>
  <c r="AH42" i="9" s="1"/>
  <c r="AI8" i="3" s="1"/>
  <c r="H42" i="9"/>
  <c r="I8" i="3" s="1"/>
  <c r="E39" i="9"/>
  <c r="F39" i="9" s="1"/>
  <c r="F76" i="8"/>
  <c r="F77" i="8"/>
  <c r="E77" i="8"/>
  <c r="E76" i="8"/>
  <c r="D76" i="8"/>
  <c r="D77" i="8"/>
  <c r="B26" i="8"/>
  <c r="B27" i="8"/>
  <c r="B56" i="8"/>
  <c r="B60" i="8" s="1"/>
  <c r="B28" i="8" l="1"/>
  <c r="B32" i="8" s="1"/>
  <c r="B35" i="8" s="1"/>
  <c r="B38" i="8" s="1"/>
  <c r="AR77" i="8"/>
  <c r="AR76" i="8"/>
  <c r="AT76" i="8"/>
  <c r="AT77" i="8"/>
  <c r="AD77" i="8"/>
  <c r="AD76" i="8"/>
  <c r="AJ77" i="8"/>
  <c r="AJ76" i="8"/>
  <c r="V77" i="8"/>
  <c r="V76" i="8"/>
  <c r="Q77" i="8"/>
  <c r="Q76" i="8"/>
  <c r="W76" i="8"/>
  <c r="W78" i="8" s="1"/>
  <c r="AC9" i="3" s="1"/>
  <c r="AC10" i="3" s="1"/>
  <c r="AC12" i="3" s="1"/>
  <c r="AB77" i="8"/>
  <c r="AB76" i="8"/>
  <c r="P77" i="8"/>
  <c r="P76" i="8"/>
  <c r="Y77" i="8"/>
  <c r="Y76" i="8"/>
  <c r="M77" i="8"/>
  <c r="M76" i="8"/>
  <c r="H77" i="8"/>
  <c r="H76" i="8"/>
  <c r="Z76" i="8"/>
  <c r="Z77" i="8"/>
  <c r="AP77" i="8"/>
  <c r="AP76" i="8"/>
  <c r="AH77" i="8"/>
  <c r="AH76" i="8"/>
  <c r="S76" i="8"/>
  <c r="S77" i="8"/>
  <c r="AU77" i="8"/>
  <c r="AU76" i="8"/>
  <c r="AE76" i="8"/>
  <c r="AE77" i="8"/>
  <c r="K77" i="8"/>
  <c r="K76" i="8"/>
  <c r="AQ77" i="8"/>
  <c r="AQ76" i="8"/>
  <c r="O77" i="8"/>
  <c r="O76" i="8"/>
  <c r="X76" i="8"/>
  <c r="X77" i="8"/>
  <c r="N77" i="8"/>
  <c r="N76" i="8"/>
  <c r="J76" i="8"/>
  <c r="J77" i="8"/>
  <c r="L76" i="8"/>
  <c r="L77" i="8"/>
  <c r="AC76" i="8"/>
  <c r="AC77" i="8"/>
  <c r="T77" i="8"/>
  <c r="T76" i="8"/>
  <c r="AN76" i="8"/>
  <c r="AN77" i="8"/>
  <c r="AL76" i="8"/>
  <c r="AL77" i="8"/>
  <c r="R76" i="8"/>
  <c r="R77" i="8"/>
  <c r="AO76" i="8"/>
  <c r="AO77" i="8"/>
  <c r="I77" i="8"/>
  <c r="I76" i="8"/>
  <c r="AF76" i="8"/>
  <c r="AF77" i="8"/>
  <c r="AW76" i="8"/>
  <c r="AW77" i="8"/>
  <c r="AM77" i="8"/>
  <c r="AM76" i="8"/>
  <c r="AA76" i="8"/>
  <c r="AA78" i="8" s="1"/>
  <c r="AG9" i="3" s="1"/>
  <c r="AG10" i="3" s="1"/>
  <c r="AG12" i="3" s="1"/>
  <c r="AG13" i="3" s="1"/>
  <c r="AA43" i="8" s="1"/>
  <c r="AI77" i="8"/>
  <c r="AI78" i="8" s="1"/>
  <c r="AO9" i="3" s="1"/>
  <c r="AO10" i="3" s="1"/>
  <c r="AO12" i="3" s="1"/>
  <c r="AO13" i="3" s="1"/>
  <c r="AI43" i="8" s="1"/>
  <c r="AK76" i="8"/>
  <c r="AK78" i="8" s="1"/>
  <c r="AQ9" i="3" s="1"/>
  <c r="AQ10" i="3" s="1"/>
  <c r="AQ12" i="3" s="1"/>
  <c r="AQ13" i="3" s="1"/>
  <c r="AK43" i="8" s="1"/>
  <c r="AS76" i="8"/>
  <c r="AS78" i="8" s="1"/>
  <c r="AY9" i="3" s="1"/>
  <c r="AY10" i="3" s="1"/>
  <c r="AY12" i="3" s="1"/>
  <c r="AY13" i="3" s="1"/>
  <c r="AS43" i="8" s="1"/>
  <c r="U77" i="8"/>
  <c r="U78" i="8" s="1"/>
  <c r="AA9" i="3" s="1"/>
  <c r="AA10" i="3" s="1"/>
  <c r="AA12" i="3" s="1"/>
  <c r="AG76" i="8"/>
  <c r="AG78" i="8" s="1"/>
  <c r="AM9" i="3" s="1"/>
  <c r="AM10" i="3" s="1"/>
  <c r="AM12" i="3" s="1"/>
  <c r="AM13" i="3" s="1"/>
  <c r="AG43" i="8" s="1"/>
  <c r="AV77" i="8"/>
  <c r="AV78" i="8" s="1"/>
  <c r="BB9" i="3" s="1"/>
  <c r="BB10" i="3" s="1"/>
  <c r="BB12" i="3" s="1"/>
  <c r="E36" i="9"/>
  <c r="F36" i="9" s="1"/>
  <c r="E78" i="8"/>
  <c r="K9" i="3" s="1"/>
  <c r="K10" i="3" s="1"/>
  <c r="K12" i="3" s="1"/>
  <c r="F78" i="8"/>
  <c r="L9" i="3" s="1"/>
  <c r="L10" i="3" s="1"/>
  <c r="L12" i="3" s="1"/>
  <c r="C77" i="8"/>
  <c r="C76" i="8"/>
  <c r="D78" i="8"/>
  <c r="J9" i="3" s="1"/>
  <c r="J10" i="3" s="1"/>
  <c r="J12" i="3" s="1"/>
  <c r="J13" i="3" s="1"/>
  <c r="D43" i="8" s="1"/>
  <c r="G76" i="8"/>
  <c r="G77" i="8"/>
  <c r="F8" i="3"/>
  <c r="B57" i="8"/>
  <c r="C53" i="8" s="1"/>
  <c r="B64" i="8"/>
  <c r="B63" i="8"/>
  <c r="AG15" i="8" l="1"/>
  <c r="AA15" i="8"/>
  <c r="AA22" i="8" s="1"/>
  <c r="D15" i="8"/>
  <c r="AS15" i="8"/>
  <c r="AS22" i="8" s="1"/>
  <c r="AK15" i="8"/>
  <c r="AK22" i="8" s="1"/>
  <c r="AI15" i="8"/>
  <c r="AI22" i="8" s="1"/>
  <c r="Q78" i="8"/>
  <c r="W9" i="3" s="1"/>
  <c r="W10" i="3" s="1"/>
  <c r="W12" i="3" s="1"/>
  <c r="W13" i="3" s="1"/>
  <c r="Q43" i="8" s="1"/>
  <c r="AC13" i="3"/>
  <c r="W43" i="8" s="1"/>
  <c r="BB13" i="3"/>
  <c r="AV43" i="8" s="1"/>
  <c r="L13" i="3"/>
  <c r="F43" i="8" s="1"/>
  <c r="K13" i="3"/>
  <c r="E43" i="8" s="1"/>
  <c r="AA13" i="3"/>
  <c r="U43" i="8" s="1"/>
  <c r="B29" i="8"/>
  <c r="C25" i="8" s="1"/>
  <c r="AW78" i="8"/>
  <c r="BC9" i="3" s="1"/>
  <c r="BC10" i="3" s="1"/>
  <c r="BC12" i="3" s="1"/>
  <c r="AD78" i="8"/>
  <c r="AJ9" i="3" s="1"/>
  <c r="AJ10" i="3" s="1"/>
  <c r="AJ12" i="3" s="1"/>
  <c r="AP78" i="8"/>
  <c r="AV9" i="3" s="1"/>
  <c r="AV10" i="3" s="1"/>
  <c r="AV12" i="3" s="1"/>
  <c r="R78" i="8"/>
  <c r="X9" i="3" s="1"/>
  <c r="X10" i="3" s="1"/>
  <c r="X12" i="3" s="1"/>
  <c r="AC78" i="8"/>
  <c r="AI9" i="3" s="1"/>
  <c r="AI10" i="3" s="1"/>
  <c r="AI12" i="3" s="1"/>
  <c r="X78" i="8"/>
  <c r="AD9" i="3" s="1"/>
  <c r="AD10" i="3" s="1"/>
  <c r="AD12" i="3" s="1"/>
  <c r="Y78" i="8"/>
  <c r="AE9" i="3" s="1"/>
  <c r="AE10" i="3" s="1"/>
  <c r="AE12" i="3" s="1"/>
  <c r="AT78" i="8"/>
  <c r="AZ9" i="3" s="1"/>
  <c r="AZ10" i="3" s="1"/>
  <c r="AZ12" i="3" s="1"/>
  <c r="AR78" i="8"/>
  <c r="AX9" i="3" s="1"/>
  <c r="AX10" i="3" s="1"/>
  <c r="AX12" i="3" s="1"/>
  <c r="AJ78" i="8"/>
  <c r="AP9" i="3" s="1"/>
  <c r="AP10" i="3" s="1"/>
  <c r="AP12" i="3" s="1"/>
  <c r="T78" i="8"/>
  <c r="Z9" i="3" s="1"/>
  <c r="Z10" i="3" s="1"/>
  <c r="Z12" i="3" s="1"/>
  <c r="H78" i="8"/>
  <c r="N9" i="3" s="1"/>
  <c r="N10" i="3" s="1"/>
  <c r="N12" i="3" s="1"/>
  <c r="AQ78" i="8"/>
  <c r="AW9" i="3" s="1"/>
  <c r="AW10" i="3" s="1"/>
  <c r="AW12" i="3" s="1"/>
  <c r="AB78" i="8"/>
  <c r="AH9" i="3" s="1"/>
  <c r="AH10" i="3" s="1"/>
  <c r="AH12" i="3" s="1"/>
  <c r="S78" i="8"/>
  <c r="Y9" i="3" s="1"/>
  <c r="Y10" i="3" s="1"/>
  <c r="Y12" i="3" s="1"/>
  <c r="J78" i="8"/>
  <c r="P9" i="3" s="1"/>
  <c r="P10" i="3" s="1"/>
  <c r="P12" i="3" s="1"/>
  <c r="AU78" i="8"/>
  <c r="BA9" i="3" s="1"/>
  <c r="BA10" i="3" s="1"/>
  <c r="BA12" i="3" s="1"/>
  <c r="P78" i="8"/>
  <c r="V9" i="3" s="1"/>
  <c r="V10" i="3" s="1"/>
  <c r="V12" i="3" s="1"/>
  <c r="AF78" i="8"/>
  <c r="AL9" i="3" s="1"/>
  <c r="AL10" i="3" s="1"/>
  <c r="AL12" i="3" s="1"/>
  <c r="AL78" i="8"/>
  <c r="AR9" i="3" s="1"/>
  <c r="AR10" i="3" s="1"/>
  <c r="AR12" i="3" s="1"/>
  <c r="L78" i="8"/>
  <c r="R9" i="3" s="1"/>
  <c r="R10" i="3" s="1"/>
  <c r="R12" i="3" s="1"/>
  <c r="AN78" i="8"/>
  <c r="AT9" i="3" s="1"/>
  <c r="AT10" i="3" s="1"/>
  <c r="AT12" i="3" s="1"/>
  <c r="AT13" i="3" s="1"/>
  <c r="AN43" i="8" s="1"/>
  <c r="V78" i="8"/>
  <c r="AB9" i="3" s="1"/>
  <c r="AB10" i="3" s="1"/>
  <c r="AB12" i="3" s="1"/>
  <c r="AB13" i="3" s="1"/>
  <c r="V43" i="8" s="1"/>
  <c r="AM78" i="8"/>
  <c r="AS9" i="3" s="1"/>
  <c r="AS10" i="3" s="1"/>
  <c r="AS12" i="3" s="1"/>
  <c r="AS13" i="3" s="1"/>
  <c r="AM43" i="8" s="1"/>
  <c r="AO78" i="8"/>
  <c r="AU9" i="3" s="1"/>
  <c r="AU10" i="3" s="1"/>
  <c r="AU12" i="3" s="1"/>
  <c r="N78" i="8"/>
  <c r="T9" i="3" s="1"/>
  <c r="T10" i="3" s="1"/>
  <c r="T12" i="3" s="1"/>
  <c r="K78" i="8"/>
  <c r="Q9" i="3" s="1"/>
  <c r="Q10" i="3" s="1"/>
  <c r="Q12" i="3" s="1"/>
  <c r="AH78" i="8"/>
  <c r="AN9" i="3" s="1"/>
  <c r="AN10" i="3" s="1"/>
  <c r="AN12" i="3" s="1"/>
  <c r="M78" i="8"/>
  <c r="S9" i="3" s="1"/>
  <c r="S10" i="3" s="1"/>
  <c r="S12" i="3" s="1"/>
  <c r="S13" i="3" s="1"/>
  <c r="M43" i="8" s="1"/>
  <c r="E42" i="9"/>
  <c r="AE78" i="8"/>
  <c r="AK9" i="3" s="1"/>
  <c r="AK10" i="3" s="1"/>
  <c r="AK12" i="3" s="1"/>
  <c r="AK13" i="3" s="1"/>
  <c r="AE43" i="8" s="1"/>
  <c r="O78" i="8"/>
  <c r="U9" i="3" s="1"/>
  <c r="U10" i="3" s="1"/>
  <c r="U12" i="3" s="1"/>
  <c r="U13" i="3" s="1"/>
  <c r="O43" i="8" s="1"/>
  <c r="Z78" i="8"/>
  <c r="AF9" i="3" s="1"/>
  <c r="AF10" i="3" s="1"/>
  <c r="AF12" i="3" s="1"/>
  <c r="AF13" i="3" s="1"/>
  <c r="Z43" i="8" s="1"/>
  <c r="I78" i="8"/>
  <c r="O9" i="3" s="1"/>
  <c r="O10" i="3" s="1"/>
  <c r="O12" i="3" s="1"/>
  <c r="O13" i="3" s="1"/>
  <c r="I43" i="8" s="1"/>
  <c r="G78" i="8"/>
  <c r="M9" i="3" s="1"/>
  <c r="M10" i="3" s="1"/>
  <c r="M12" i="3" s="1"/>
  <c r="M13" i="3" s="1"/>
  <c r="G43" i="8" s="1"/>
  <c r="AG22" i="8"/>
  <c r="C78" i="8"/>
  <c r="I9" i="3" s="1"/>
  <c r="I10" i="3" s="1"/>
  <c r="I12" i="3" s="1"/>
  <c r="I13" i="3" s="1"/>
  <c r="C43" i="8" s="1"/>
  <c r="D22" i="8"/>
  <c r="B67" i="8"/>
  <c r="B68" i="8" s="1"/>
  <c r="H14" i="3" s="1"/>
  <c r="H15" i="3" s="1"/>
  <c r="F42" i="9" l="1"/>
  <c r="C15" i="2" s="1"/>
  <c r="B15" i="2"/>
  <c r="AV15" i="8"/>
  <c r="AV22" i="8" s="1"/>
  <c r="AV26" i="8" s="1"/>
  <c r="Q15" i="8"/>
  <c r="Q22" i="8" s="1"/>
  <c r="Q27" i="8" s="1"/>
  <c r="F15" i="8"/>
  <c r="F22" i="8" s="1"/>
  <c r="F26" i="8" s="1"/>
  <c r="I15" i="8"/>
  <c r="I22" i="8" s="1"/>
  <c r="O15" i="8"/>
  <c r="O22" i="8" s="1"/>
  <c r="AM15" i="8"/>
  <c r="AM22" i="8" s="1"/>
  <c r="G15" i="8"/>
  <c r="G22" i="8" s="1"/>
  <c r="Z15" i="8"/>
  <c r="Z22" i="8" s="1"/>
  <c r="C15" i="8"/>
  <c r="C22" i="8" s="1"/>
  <c r="U15" i="8"/>
  <c r="U22" i="8" s="1"/>
  <c r="U27" i="8" s="1"/>
  <c r="M15" i="8"/>
  <c r="M22" i="8" s="1"/>
  <c r="W15" i="8"/>
  <c r="W22" i="8" s="1"/>
  <c r="W27" i="8" s="1"/>
  <c r="AE15" i="8"/>
  <c r="AE22" i="8" s="1"/>
  <c r="V15" i="8"/>
  <c r="V22" i="8" s="1"/>
  <c r="AN15" i="8"/>
  <c r="AN22" i="8" s="1"/>
  <c r="E15" i="8"/>
  <c r="E22" i="8" s="1"/>
  <c r="E27" i="8" s="1"/>
  <c r="E50" i="8"/>
  <c r="E55" i="8" s="1"/>
  <c r="W50" i="8"/>
  <c r="W54" i="8" s="1"/>
  <c r="AV13" i="3"/>
  <c r="AP43" i="8" s="1"/>
  <c r="P13" i="3"/>
  <c r="J43" i="8" s="1"/>
  <c r="BC13" i="3"/>
  <c r="AW43" i="8" s="1"/>
  <c r="AU13" i="3"/>
  <c r="AO43" i="8" s="1"/>
  <c r="AP13" i="3"/>
  <c r="AJ43" i="8" s="1"/>
  <c r="Y13" i="3"/>
  <c r="S43" i="8" s="1"/>
  <c r="AX13" i="3"/>
  <c r="AR43" i="8" s="1"/>
  <c r="AZ13" i="3"/>
  <c r="AT43" i="8" s="1"/>
  <c r="BA13" i="3"/>
  <c r="AU43" i="8" s="1"/>
  <c r="AJ13" i="3"/>
  <c r="AD43" i="8" s="1"/>
  <c r="R13" i="3"/>
  <c r="L43" i="8" s="1"/>
  <c r="AH13" i="3"/>
  <c r="AB43" i="8" s="1"/>
  <c r="AE13" i="3"/>
  <c r="Y43" i="8" s="1"/>
  <c r="AN13" i="3"/>
  <c r="AH43" i="8" s="1"/>
  <c r="AR13" i="3"/>
  <c r="AL43" i="8" s="1"/>
  <c r="AW13" i="3"/>
  <c r="AQ43" i="8" s="1"/>
  <c r="AD13" i="3"/>
  <c r="X43" i="8" s="1"/>
  <c r="Q13" i="3"/>
  <c r="K43" i="8" s="1"/>
  <c r="AL13" i="3"/>
  <c r="AF43" i="8" s="1"/>
  <c r="N13" i="3"/>
  <c r="H43" i="8" s="1"/>
  <c r="AI13" i="3"/>
  <c r="AC43" i="8" s="1"/>
  <c r="T13" i="3"/>
  <c r="N43" i="8" s="1"/>
  <c r="V13" i="3"/>
  <c r="P43" i="8" s="1"/>
  <c r="Z13" i="3"/>
  <c r="T43" i="8" s="1"/>
  <c r="X13" i="3"/>
  <c r="R43" i="8" s="1"/>
  <c r="AS50" i="8"/>
  <c r="AS26" i="8"/>
  <c r="AS27" i="8"/>
  <c r="AI50" i="8"/>
  <c r="AG26" i="8"/>
  <c r="AG27" i="8"/>
  <c r="AK26" i="8"/>
  <c r="AK27" i="8"/>
  <c r="AG50" i="8"/>
  <c r="AK50" i="8"/>
  <c r="AI26" i="8"/>
  <c r="AI27" i="8"/>
  <c r="F12" i="3"/>
  <c r="AA26" i="8"/>
  <c r="AA27" i="8"/>
  <c r="D27" i="8"/>
  <c r="D26" i="8"/>
  <c r="AA50" i="8"/>
  <c r="D50" i="8"/>
  <c r="H21" i="3"/>
  <c r="H25" i="3" s="1"/>
  <c r="E26" i="8" l="1"/>
  <c r="Y15" i="8"/>
  <c r="Y22" i="8" s="1"/>
  <c r="Y26" i="8" s="1"/>
  <c r="Y50" i="8"/>
  <c r="Y54" i="8" s="1"/>
  <c r="H15" i="8"/>
  <c r="H22" i="8" s="1"/>
  <c r="H26" i="8" s="1"/>
  <c r="AB15" i="8"/>
  <c r="AB22" i="8" s="1"/>
  <c r="AO15" i="8"/>
  <c r="AO22" i="8" s="1"/>
  <c r="AO27" i="8" s="1"/>
  <c r="AF15" i="8"/>
  <c r="AF22" i="8" s="1"/>
  <c r="AF27" i="8" s="1"/>
  <c r="L15" i="8"/>
  <c r="L22" i="8" s="1"/>
  <c r="L26" i="8" s="1"/>
  <c r="AW15" i="8"/>
  <c r="AW22" i="8" s="1"/>
  <c r="AW26" i="8" s="1"/>
  <c r="AW50" i="8"/>
  <c r="AW54" i="8" s="1"/>
  <c r="AH15" i="8"/>
  <c r="AH22" i="8" s="1"/>
  <c r="S15" i="8"/>
  <c r="S22" i="8" s="1"/>
  <c r="S26" i="8" s="1"/>
  <c r="AC15" i="8"/>
  <c r="AC22" i="8" s="1"/>
  <c r="AC27" i="8" s="1"/>
  <c r="AJ15" i="8"/>
  <c r="AJ22" i="8" s="1"/>
  <c r="AJ27" i="8" s="1"/>
  <c r="U50" i="8"/>
  <c r="U55" i="8" s="1"/>
  <c r="K15" i="8"/>
  <c r="K22" i="8" s="1"/>
  <c r="K27" i="8" s="1"/>
  <c r="K50" i="8"/>
  <c r="K54" i="8" s="1"/>
  <c r="AD15" i="8"/>
  <c r="AD22" i="8" s="1"/>
  <c r="AD27" i="8" s="1"/>
  <c r="AD50" i="8"/>
  <c r="AD55" i="8" s="1"/>
  <c r="J15" i="8"/>
  <c r="J22" i="8" s="1"/>
  <c r="R15" i="8"/>
  <c r="R22" i="8" s="1"/>
  <c r="R50" i="8"/>
  <c r="R55" i="8" s="1"/>
  <c r="X15" i="8"/>
  <c r="X22" i="8" s="1"/>
  <c r="X26" i="8" s="1"/>
  <c r="AU15" i="8"/>
  <c r="AU22" i="8" s="1"/>
  <c r="AU27" i="8" s="1"/>
  <c r="AP15" i="8"/>
  <c r="AP22" i="8" s="1"/>
  <c r="T15" i="8"/>
  <c r="T22" i="8" s="1"/>
  <c r="T26" i="8" s="1"/>
  <c r="AQ15" i="8"/>
  <c r="AQ22" i="8" s="1"/>
  <c r="AQ50" i="8"/>
  <c r="AQ54" i="8" s="1"/>
  <c r="AT15" i="8"/>
  <c r="AT22" i="8" s="1"/>
  <c r="AT27" i="8" s="1"/>
  <c r="P15" i="8"/>
  <c r="P22" i="8" s="1"/>
  <c r="P26" i="8" s="1"/>
  <c r="AL15" i="8"/>
  <c r="AL22" i="8" s="1"/>
  <c r="AL26" i="8" s="1"/>
  <c r="AR15" i="8"/>
  <c r="AR22" i="8" s="1"/>
  <c r="AR26" i="8" s="1"/>
  <c r="N15" i="8"/>
  <c r="N22" i="8" s="1"/>
  <c r="N26" i="8" s="1"/>
  <c r="N50" i="8"/>
  <c r="N55" i="8" s="1"/>
  <c r="U26" i="8"/>
  <c r="Q26" i="8"/>
  <c r="F27" i="8"/>
  <c r="J50" i="8"/>
  <c r="J55" i="8" s="1"/>
  <c r="W26" i="8"/>
  <c r="AV27" i="8"/>
  <c r="F50" i="8"/>
  <c r="AB50" i="8"/>
  <c r="AB54" i="8" s="1"/>
  <c r="AC50" i="8"/>
  <c r="AC55" i="8" s="1"/>
  <c r="AF50" i="8"/>
  <c r="AF54" i="8" s="1"/>
  <c r="AV50" i="8"/>
  <c r="L50" i="8"/>
  <c r="AR50" i="8"/>
  <c r="AR55" i="8" s="1"/>
  <c r="F13" i="3"/>
  <c r="Q50" i="8"/>
  <c r="X50" i="8"/>
  <c r="X55" i="8" s="1"/>
  <c r="W55" i="8"/>
  <c r="H50" i="8"/>
  <c r="H55" i="8" s="1"/>
  <c r="S50" i="8"/>
  <c r="S55" i="8" s="1"/>
  <c r="V27" i="8"/>
  <c r="V26" i="8"/>
  <c r="AM26" i="8"/>
  <c r="AM27" i="8"/>
  <c r="V50" i="8"/>
  <c r="AM50" i="8"/>
  <c r="AH50" i="8"/>
  <c r="AN26" i="8"/>
  <c r="AN27" i="8"/>
  <c r="M26" i="8"/>
  <c r="M27" i="8"/>
  <c r="AN50" i="8"/>
  <c r="M50" i="8"/>
  <c r="Z26" i="8"/>
  <c r="Z27" i="8"/>
  <c r="AE26" i="8"/>
  <c r="AE27" i="8"/>
  <c r="I26" i="8"/>
  <c r="I27" i="8"/>
  <c r="AS55" i="8"/>
  <c r="AS54" i="8"/>
  <c r="I50" i="8"/>
  <c r="O50" i="8"/>
  <c r="Z50" i="8"/>
  <c r="AE50" i="8"/>
  <c r="O26" i="8"/>
  <c r="O27" i="8"/>
  <c r="E54" i="8"/>
  <c r="AI54" i="8"/>
  <c r="AI55" i="8"/>
  <c r="AK54" i="8"/>
  <c r="AK55" i="8"/>
  <c r="AG55" i="8"/>
  <c r="AG54" i="8"/>
  <c r="C26" i="8"/>
  <c r="C27" i="8"/>
  <c r="C50" i="8"/>
  <c r="AA54" i="8"/>
  <c r="AA55" i="8"/>
  <c r="D55" i="8"/>
  <c r="D54" i="8"/>
  <c r="G27" i="8"/>
  <c r="G26" i="8"/>
  <c r="G50" i="8"/>
  <c r="U54" i="8" l="1"/>
  <c r="AQ27" i="8"/>
  <c r="AQ26" i="8"/>
  <c r="AT50" i="8"/>
  <c r="AT55" i="8" s="1"/>
  <c r="AD54" i="8"/>
  <c r="AJ26" i="8"/>
  <c r="AC54" i="8"/>
  <c r="AF26" i="8"/>
  <c r="AU26" i="8"/>
  <c r="T27" i="8"/>
  <c r="X27" i="8"/>
  <c r="K26" i="8"/>
  <c r="H27" i="8"/>
  <c r="AW27" i="8"/>
  <c r="X54" i="8"/>
  <c r="AO26" i="8"/>
  <c r="AC26" i="8"/>
  <c r="N54" i="8"/>
  <c r="N27" i="8"/>
  <c r="AJ50" i="8"/>
  <c r="F55" i="8"/>
  <c r="F54" i="8"/>
  <c r="AH27" i="8"/>
  <c r="AH26" i="8"/>
  <c r="AL27" i="8"/>
  <c r="AO50" i="8"/>
  <c r="AP27" i="8"/>
  <c r="AP26" i="8"/>
  <c r="J54" i="8"/>
  <c r="AB55" i="8"/>
  <c r="P27" i="8"/>
  <c r="Y27" i="8"/>
  <c r="AD26" i="8"/>
  <c r="AL50" i="8"/>
  <c r="S27" i="8"/>
  <c r="AU50" i="8"/>
  <c r="L27" i="8"/>
  <c r="K55" i="8"/>
  <c r="AF55" i="8"/>
  <c r="AR54" i="8"/>
  <c r="R27" i="8"/>
  <c r="R26" i="8"/>
  <c r="AT26" i="8"/>
  <c r="AV54" i="8"/>
  <c r="AV55" i="8"/>
  <c r="AW55" i="8"/>
  <c r="Q55" i="8"/>
  <c r="Q54" i="8"/>
  <c r="J27" i="8"/>
  <c r="J26" i="8"/>
  <c r="T50" i="8"/>
  <c r="AP50" i="8"/>
  <c r="L55" i="8"/>
  <c r="L54" i="8"/>
  <c r="R54" i="8"/>
  <c r="AR27" i="8"/>
  <c r="P50" i="8"/>
  <c r="AB26" i="8"/>
  <c r="AB27" i="8"/>
  <c r="H54" i="8"/>
  <c r="AQ55" i="8"/>
  <c r="Y55" i="8"/>
  <c r="S54" i="8"/>
  <c r="M54" i="8"/>
  <c r="M55" i="8"/>
  <c r="AH55" i="8"/>
  <c r="AH54" i="8"/>
  <c r="V54" i="8"/>
  <c r="V55" i="8"/>
  <c r="AN55" i="8"/>
  <c r="AN54" i="8"/>
  <c r="AM54" i="8"/>
  <c r="AM55" i="8"/>
  <c r="AE54" i="8"/>
  <c r="AE55" i="8"/>
  <c r="O54" i="8"/>
  <c r="O55" i="8"/>
  <c r="Z55" i="8"/>
  <c r="Z54" i="8"/>
  <c r="I54" i="8"/>
  <c r="I55" i="8"/>
  <c r="C28" i="8"/>
  <c r="C32" i="8" s="1"/>
  <c r="C35" i="8" s="1"/>
  <c r="C38" i="8" s="1"/>
  <c r="C55" i="8"/>
  <c r="C54" i="8"/>
  <c r="G54" i="8"/>
  <c r="G55" i="8"/>
  <c r="AT54" i="8" l="1"/>
  <c r="AL54" i="8"/>
  <c r="AL55" i="8"/>
  <c r="AU55" i="8"/>
  <c r="AU54" i="8"/>
  <c r="AO54" i="8"/>
  <c r="AO55" i="8"/>
  <c r="AJ54" i="8"/>
  <c r="AJ55" i="8"/>
  <c r="P55" i="8"/>
  <c r="P54" i="8"/>
  <c r="AP55" i="8"/>
  <c r="AP54" i="8"/>
  <c r="T55" i="8"/>
  <c r="T54" i="8"/>
  <c r="C29" i="8"/>
  <c r="D25" i="8" s="1"/>
  <c r="D28" i="8" s="1"/>
  <c r="D32" i="8" s="1"/>
  <c r="D35" i="8" s="1"/>
  <c r="D38" i="8" s="1"/>
  <c r="C56" i="8"/>
  <c r="C60" i="8" s="1"/>
  <c r="D29" i="8" l="1"/>
  <c r="E25" i="8" s="1"/>
  <c r="E28" i="8" s="1"/>
  <c r="E32" i="8" s="1"/>
  <c r="E35" i="8" s="1"/>
  <c r="E38" i="8" s="1"/>
  <c r="C57" i="8"/>
  <c r="D53" i="8" s="1"/>
  <c r="D56" i="8" s="1"/>
  <c r="D60" i="8" s="1"/>
  <c r="C64" i="8"/>
  <c r="C63" i="8"/>
  <c r="C67" i="8" l="1"/>
  <c r="C68" i="8" s="1"/>
  <c r="I14" i="3" s="1"/>
  <c r="I15" i="3" s="1"/>
  <c r="I21" i="3" s="1"/>
  <c r="I25" i="3" s="1"/>
  <c r="E29" i="8"/>
  <c r="F25" i="8" s="1"/>
  <c r="F28" i="8" s="1"/>
  <c r="F32" i="8" s="1"/>
  <c r="F35" i="8" s="1"/>
  <c r="F38" i="8" s="1"/>
  <c r="D63" i="8"/>
  <c r="D64" i="8"/>
  <c r="D57" i="8"/>
  <c r="E53" i="8" s="1"/>
  <c r="F29" i="8" l="1"/>
  <c r="G25" i="8" s="1"/>
  <c r="G28" i="8" s="1"/>
  <c r="G32" i="8" s="1"/>
  <c r="G35" i="8" s="1"/>
  <c r="G38" i="8" s="1"/>
  <c r="D67" i="8"/>
  <c r="D68" i="8" s="1"/>
  <c r="J14" i="3" s="1"/>
  <c r="J15" i="3" s="1"/>
  <c r="J21" i="3" s="1"/>
  <c r="J25" i="3" s="1"/>
  <c r="E56" i="8"/>
  <c r="E60" i="8" s="1"/>
  <c r="G29" i="8" l="1"/>
  <c r="H25" i="8" s="1"/>
  <c r="H28" i="8" s="1"/>
  <c r="H32" i="8" s="1"/>
  <c r="H35" i="8" s="1"/>
  <c r="H38" i="8" s="1"/>
  <c r="E57" i="8"/>
  <c r="F53" i="8" s="1"/>
  <c r="F56" i="8" s="1"/>
  <c r="F60" i="8" s="1"/>
  <c r="E63" i="8"/>
  <c r="E64" i="8"/>
  <c r="H29" i="8" l="1"/>
  <c r="I25" i="8" s="1"/>
  <c r="I28" i="8" s="1"/>
  <c r="I32" i="8" s="1"/>
  <c r="I35" i="8" s="1"/>
  <c r="I38" i="8" s="1"/>
  <c r="F57" i="8"/>
  <c r="G53" i="8" s="1"/>
  <c r="G56" i="8" s="1"/>
  <c r="G60" i="8" s="1"/>
  <c r="E67" i="8"/>
  <c r="E68" i="8" s="1"/>
  <c r="K14" i="3" s="1"/>
  <c r="K15" i="3" s="1"/>
  <c r="K21" i="3" s="1"/>
  <c r="K25" i="3" s="1"/>
  <c r="F64" i="8"/>
  <c r="F63" i="8"/>
  <c r="I29" i="8" l="1"/>
  <c r="J25" i="8" s="1"/>
  <c r="J28" i="8" s="1"/>
  <c r="J32" i="8" s="1"/>
  <c r="J35" i="8" s="1"/>
  <c r="J38" i="8" s="1"/>
  <c r="F67" i="8"/>
  <c r="G57" i="8"/>
  <c r="H53" i="8" s="1"/>
  <c r="H56" i="8" s="1"/>
  <c r="H60" i="8" s="1"/>
  <c r="G64" i="8"/>
  <c r="G63" i="8"/>
  <c r="F68" i="8" l="1"/>
  <c r="L14" i="3" s="1"/>
  <c r="L15" i="3" s="1"/>
  <c r="G67" i="8"/>
  <c r="H63" i="8"/>
  <c r="H64" i="8"/>
  <c r="H57" i="8"/>
  <c r="I53" i="8" s="1"/>
  <c r="J29" i="8"/>
  <c r="K25" i="8" s="1"/>
  <c r="K28" i="8" s="1"/>
  <c r="K32" i="8" s="1"/>
  <c r="K35" i="8" s="1"/>
  <c r="K38" i="8" s="1"/>
  <c r="L21" i="3" l="1"/>
  <c r="L25" i="3" s="1"/>
  <c r="G68" i="8"/>
  <c r="M14" i="3" s="1"/>
  <c r="M15" i="3" s="1"/>
  <c r="I56" i="8"/>
  <c r="I60" i="8" s="1"/>
  <c r="H67" i="8"/>
  <c r="K29" i="8"/>
  <c r="L25" i="8" s="1"/>
  <c r="L28" i="8" s="1"/>
  <c r="L32" i="8" s="1"/>
  <c r="L35" i="8" s="1"/>
  <c r="L38" i="8" s="1"/>
  <c r="M21" i="3" l="1"/>
  <c r="M25" i="3" s="1"/>
  <c r="H68" i="8"/>
  <c r="N14" i="3" s="1"/>
  <c r="N15" i="3" s="1"/>
  <c r="I57" i="8"/>
  <c r="J53" i="8" s="1"/>
  <c r="J56" i="8" s="1"/>
  <c r="J60" i="8" s="1"/>
  <c r="I63" i="8"/>
  <c r="I64" i="8"/>
  <c r="L29" i="8"/>
  <c r="M25" i="8" s="1"/>
  <c r="M28" i="8" s="1"/>
  <c r="N21" i="3" l="1"/>
  <c r="N25" i="3" s="1"/>
  <c r="J57" i="8"/>
  <c r="K53" i="8" s="1"/>
  <c r="K56" i="8" s="1"/>
  <c r="K60" i="8" s="1"/>
  <c r="I67" i="8"/>
  <c r="J63" i="8"/>
  <c r="J64" i="8"/>
  <c r="M32" i="8"/>
  <c r="M35" i="8" s="1"/>
  <c r="M38" i="8" s="1"/>
  <c r="M29" i="8"/>
  <c r="N25" i="8" s="1"/>
  <c r="N28" i="8" s="1"/>
  <c r="N32" i="8" s="1"/>
  <c r="N35" i="8" s="1"/>
  <c r="N38" i="8" s="1"/>
  <c r="I68" i="8" l="1"/>
  <c r="O14" i="3" s="1"/>
  <c r="O15" i="3" s="1"/>
  <c r="K57" i="8"/>
  <c r="L53" i="8" s="1"/>
  <c r="L56" i="8" s="1"/>
  <c r="L60" i="8" s="1"/>
  <c r="L63" i="8" s="1"/>
  <c r="K64" i="8"/>
  <c r="K63" i="8"/>
  <c r="J67" i="8"/>
  <c r="N29" i="8"/>
  <c r="O25" i="8" s="1"/>
  <c r="O21" i="3" l="1"/>
  <c r="O25" i="3" s="1"/>
  <c r="J68" i="8"/>
  <c r="P14" i="3" s="1"/>
  <c r="P15" i="3" s="1"/>
  <c r="L64" i="8"/>
  <c r="L67" i="8" s="1"/>
  <c r="K67" i="8"/>
  <c r="L57" i="8"/>
  <c r="M53" i="8" s="1"/>
  <c r="M56" i="8" s="1"/>
  <c r="M60" i="8" s="1"/>
  <c r="O28" i="8"/>
  <c r="O32" i="8" s="1"/>
  <c r="O35" i="8" s="1"/>
  <c r="O38" i="8" s="1"/>
  <c r="P21" i="3" l="1"/>
  <c r="P25" i="3" s="1"/>
  <c r="K68" i="8"/>
  <c r="Q14" i="3" s="1"/>
  <c r="Q15" i="3" s="1"/>
  <c r="L68" i="8"/>
  <c r="R14" i="3" s="1"/>
  <c r="R15" i="3" s="1"/>
  <c r="O29" i="8"/>
  <c r="P25" i="8" s="1"/>
  <c r="M64" i="8"/>
  <c r="M63" i="8"/>
  <c r="M57" i="8"/>
  <c r="N53" i="8" s="1"/>
  <c r="R21" i="3" l="1"/>
  <c r="R25" i="3" s="1"/>
  <c r="Q21" i="3"/>
  <c r="Q25" i="3" s="1"/>
  <c r="P28" i="8"/>
  <c r="P32" i="8" s="1"/>
  <c r="P35" i="8" s="1"/>
  <c r="P38" i="8" s="1"/>
  <c r="M67" i="8"/>
  <c r="N56" i="8"/>
  <c r="N60" i="8" s="1"/>
  <c r="M68" i="8" l="1"/>
  <c r="S14" i="3" s="1"/>
  <c r="S15" i="3" s="1"/>
  <c r="P29" i="8"/>
  <c r="Q25" i="8" s="1"/>
  <c r="Q28" i="8" s="1"/>
  <c r="Q32" i="8" s="1"/>
  <c r="Q35" i="8" s="1"/>
  <c r="Q38" i="8" s="1"/>
  <c r="N64" i="8"/>
  <c r="N63" i="8"/>
  <c r="N57" i="8"/>
  <c r="O53" i="8" s="1"/>
  <c r="S21" i="3" l="1"/>
  <c r="S25" i="3" s="1"/>
  <c r="N67" i="8"/>
  <c r="Q29" i="8"/>
  <c r="R25" i="8" s="1"/>
  <c r="O56" i="8"/>
  <c r="O60" i="8" s="1"/>
  <c r="N68" i="8" l="1"/>
  <c r="T14" i="3" s="1"/>
  <c r="T15" i="3" s="1"/>
  <c r="R28" i="8"/>
  <c r="R32" i="8" s="1"/>
  <c r="R35" i="8" s="1"/>
  <c r="R38" i="8" s="1"/>
  <c r="O64" i="8"/>
  <c r="O63" i="8"/>
  <c r="O57" i="8"/>
  <c r="P53" i="8" s="1"/>
  <c r="T21" i="3" l="1"/>
  <c r="T25" i="3" s="1"/>
  <c r="O67" i="8"/>
  <c r="R29" i="8"/>
  <c r="S25" i="8" s="1"/>
  <c r="S28" i="8" s="1"/>
  <c r="S32" i="8" s="1"/>
  <c r="S35" i="8" s="1"/>
  <c r="S38" i="8" s="1"/>
  <c r="P56" i="8"/>
  <c r="P60" i="8" s="1"/>
  <c r="O68" i="8" l="1"/>
  <c r="U14" i="3" s="1"/>
  <c r="U15" i="3" s="1"/>
  <c r="S29" i="8"/>
  <c r="T25" i="8" s="1"/>
  <c r="T28" i="8" s="1"/>
  <c r="T32" i="8" s="1"/>
  <c r="T35" i="8" s="1"/>
  <c r="T38" i="8" s="1"/>
  <c r="P63" i="8"/>
  <c r="P64" i="8"/>
  <c r="P57" i="8"/>
  <c r="Q53" i="8" s="1"/>
  <c r="U21" i="3" l="1"/>
  <c r="U25" i="3" s="1"/>
  <c r="T29" i="8"/>
  <c r="U25" i="8" s="1"/>
  <c r="U28" i="8" s="1"/>
  <c r="U32" i="8" s="1"/>
  <c r="U35" i="8" s="1"/>
  <c r="U38" i="8" s="1"/>
  <c r="P67" i="8"/>
  <c r="Q56" i="8"/>
  <c r="Q60" i="8" s="1"/>
  <c r="P68" i="8" l="1"/>
  <c r="V14" i="3" s="1"/>
  <c r="V15" i="3" s="1"/>
  <c r="U29" i="8"/>
  <c r="V25" i="8" s="1"/>
  <c r="V28" i="8" s="1"/>
  <c r="V32" i="8" s="1"/>
  <c r="V35" i="8" s="1"/>
  <c r="V38" i="8" s="1"/>
  <c r="Q63" i="8"/>
  <c r="Q64" i="8"/>
  <c r="Q57" i="8"/>
  <c r="R53" i="8" s="1"/>
  <c r="V21" i="3" l="1"/>
  <c r="V25" i="3" s="1"/>
  <c r="V29" i="8"/>
  <c r="W25" i="8" s="1"/>
  <c r="W28" i="8" s="1"/>
  <c r="W32" i="8" s="1"/>
  <c r="W35" i="8" s="1"/>
  <c r="W38" i="8" s="1"/>
  <c r="Q67" i="8"/>
  <c r="R56" i="8"/>
  <c r="R60" i="8" s="1"/>
  <c r="Q68" i="8" l="1"/>
  <c r="W14" i="3" s="1"/>
  <c r="W15" i="3" s="1"/>
  <c r="W29" i="8"/>
  <c r="X25" i="8" s="1"/>
  <c r="R64" i="8"/>
  <c r="R63" i="8"/>
  <c r="R57" i="8"/>
  <c r="S53" i="8" s="1"/>
  <c r="W21" i="3" l="1"/>
  <c r="W25" i="3" s="1"/>
  <c r="R67" i="8"/>
  <c r="X28" i="8"/>
  <c r="X32" i="8" s="1"/>
  <c r="X35" i="8" s="1"/>
  <c r="X38" i="8" s="1"/>
  <c r="S56" i="8"/>
  <c r="S60" i="8" s="1"/>
  <c r="R68" i="8" l="1"/>
  <c r="X14" i="3" s="1"/>
  <c r="X15" i="3" s="1"/>
  <c r="X29" i="8"/>
  <c r="Y25" i="8" s="1"/>
  <c r="Y28" i="8" s="1"/>
  <c r="Y32" i="8" s="1"/>
  <c r="Y35" i="8" s="1"/>
  <c r="Y38" i="8" s="1"/>
  <c r="S64" i="8"/>
  <c r="S63" i="8"/>
  <c r="S57" i="8"/>
  <c r="T53" i="8" s="1"/>
  <c r="X21" i="3" l="1"/>
  <c r="X25" i="3" s="1"/>
  <c r="S67" i="8"/>
  <c r="Y29" i="8"/>
  <c r="Z25" i="8" s="1"/>
  <c r="Z28" i="8" s="1"/>
  <c r="Z32" i="8" s="1"/>
  <c r="Z35" i="8" s="1"/>
  <c r="Z38" i="8" s="1"/>
  <c r="T56" i="8"/>
  <c r="T60" i="8" s="1"/>
  <c r="S68" i="8" l="1"/>
  <c r="Y14" i="3" s="1"/>
  <c r="Y15" i="3" s="1"/>
  <c r="Z29" i="8"/>
  <c r="AA25" i="8" s="1"/>
  <c r="AA28" i="8" s="1"/>
  <c r="AA32" i="8" s="1"/>
  <c r="AA35" i="8" s="1"/>
  <c r="AA38" i="8" s="1"/>
  <c r="T64" i="8"/>
  <c r="T63" i="8"/>
  <c r="T57" i="8"/>
  <c r="U53" i="8" s="1"/>
  <c r="Y21" i="3" l="1"/>
  <c r="Y25" i="3" s="1"/>
  <c r="AA29" i="8"/>
  <c r="AB25" i="8" s="1"/>
  <c r="AB28" i="8" s="1"/>
  <c r="AB32" i="8" s="1"/>
  <c r="AB35" i="8" s="1"/>
  <c r="AB38" i="8" s="1"/>
  <c r="T67" i="8"/>
  <c r="U56" i="8"/>
  <c r="U60" i="8" s="1"/>
  <c r="T68" i="8" l="1"/>
  <c r="Z14" i="3" s="1"/>
  <c r="Z15" i="3" s="1"/>
  <c r="AB29" i="8"/>
  <c r="AC25" i="8" s="1"/>
  <c r="AC28" i="8" s="1"/>
  <c r="AC32" i="8" s="1"/>
  <c r="AC35" i="8" s="1"/>
  <c r="AC38" i="8" s="1"/>
  <c r="U64" i="8"/>
  <c r="U63" i="8"/>
  <c r="U57" i="8"/>
  <c r="V53" i="8" s="1"/>
  <c r="Z21" i="3" l="1"/>
  <c r="Z25" i="3" s="1"/>
  <c r="AC29" i="8"/>
  <c r="AD25" i="8" s="1"/>
  <c r="AD28" i="8" s="1"/>
  <c r="AD32" i="8" s="1"/>
  <c r="AD35" i="8" s="1"/>
  <c r="AD38" i="8" s="1"/>
  <c r="U67" i="8"/>
  <c r="V56" i="8"/>
  <c r="V60" i="8" s="1"/>
  <c r="U68" i="8" l="1"/>
  <c r="AA14" i="3" s="1"/>
  <c r="AA15" i="3" s="1"/>
  <c r="AD29" i="8"/>
  <c r="AE25" i="8" s="1"/>
  <c r="AE28" i="8" s="1"/>
  <c r="AE32" i="8" s="1"/>
  <c r="AE35" i="8" s="1"/>
  <c r="AE38" i="8" s="1"/>
  <c r="V64" i="8"/>
  <c r="V63" i="8"/>
  <c r="V57" i="8"/>
  <c r="W53" i="8" s="1"/>
  <c r="AA21" i="3" l="1"/>
  <c r="AA25" i="3" s="1"/>
  <c r="AE29" i="8"/>
  <c r="AF25" i="8" s="1"/>
  <c r="V67" i="8"/>
  <c r="W56" i="8"/>
  <c r="W60" i="8" s="1"/>
  <c r="V68" i="8" l="1"/>
  <c r="AB14" i="3" s="1"/>
  <c r="AB15" i="3" s="1"/>
  <c r="AF28" i="8"/>
  <c r="AF32" i="8" s="1"/>
  <c r="AF35" i="8" s="1"/>
  <c r="AF38" i="8" s="1"/>
  <c r="W64" i="8"/>
  <c r="W63" i="8"/>
  <c r="W57" i="8"/>
  <c r="X53" i="8" s="1"/>
  <c r="AB21" i="3" l="1"/>
  <c r="AB25" i="3" s="1"/>
  <c r="AF29" i="8"/>
  <c r="AG25" i="8" s="1"/>
  <c r="AG28" i="8" s="1"/>
  <c r="AG32" i="8" s="1"/>
  <c r="AG35" i="8" s="1"/>
  <c r="AG38" i="8" s="1"/>
  <c r="W67" i="8"/>
  <c r="X56" i="8"/>
  <c r="X60" i="8" s="1"/>
  <c r="W68" i="8" l="1"/>
  <c r="AC14" i="3" s="1"/>
  <c r="AC15" i="3" s="1"/>
  <c r="AG29" i="8"/>
  <c r="AH25" i="8" s="1"/>
  <c r="AH28" i="8" s="1"/>
  <c r="AH32" i="8" s="1"/>
  <c r="AH35" i="8" s="1"/>
  <c r="AH38" i="8" s="1"/>
  <c r="X64" i="8"/>
  <c r="X63" i="8"/>
  <c r="X57" i="8"/>
  <c r="Y53" i="8" s="1"/>
  <c r="AC21" i="3" l="1"/>
  <c r="AC25" i="3" s="1"/>
  <c r="AH29" i="8"/>
  <c r="AI25" i="8" s="1"/>
  <c r="AI28" i="8" s="1"/>
  <c r="AI32" i="8" s="1"/>
  <c r="AI35" i="8" s="1"/>
  <c r="AI38" i="8" s="1"/>
  <c r="X67" i="8"/>
  <c r="Y56" i="8"/>
  <c r="Y60" i="8" s="1"/>
  <c r="X68" i="8" l="1"/>
  <c r="AD14" i="3" s="1"/>
  <c r="AD15" i="3" s="1"/>
  <c r="AI29" i="8"/>
  <c r="AJ25" i="8" s="1"/>
  <c r="AJ28" i="8" s="1"/>
  <c r="AJ32" i="8" s="1"/>
  <c r="AJ35" i="8" s="1"/>
  <c r="AJ38" i="8" s="1"/>
  <c r="Y64" i="8"/>
  <c r="Y63" i="8"/>
  <c r="Y57" i="8"/>
  <c r="Z53" i="8" s="1"/>
  <c r="C4" i="2"/>
  <c r="C2" i="3" s="1"/>
  <c r="E23" i="3" l="1"/>
  <c r="E22" i="3"/>
  <c r="E11" i="3"/>
  <c r="E8" i="3"/>
  <c r="E12" i="3"/>
  <c r="E13" i="3"/>
  <c r="H27" i="3"/>
  <c r="I27" i="3"/>
  <c r="J27" i="3"/>
  <c r="K27" i="3"/>
  <c r="L27" i="3"/>
  <c r="M27" i="3"/>
  <c r="N27" i="3"/>
  <c r="O27" i="3"/>
  <c r="P27" i="3"/>
  <c r="R27" i="3"/>
  <c r="Q27" i="3"/>
  <c r="S27" i="3"/>
  <c r="T27" i="3"/>
  <c r="U27" i="3"/>
  <c r="V27" i="3"/>
  <c r="W27" i="3"/>
  <c r="X27" i="3"/>
  <c r="Y27" i="3"/>
  <c r="Z27" i="3"/>
  <c r="AA27" i="3"/>
  <c r="AB27" i="3"/>
  <c r="AC27" i="3"/>
  <c r="AD21" i="3"/>
  <c r="AD25" i="3" s="1"/>
  <c r="AD27" i="3" s="1"/>
  <c r="Y67" i="8"/>
  <c r="AJ29" i="8"/>
  <c r="AK25" i="8" s="1"/>
  <c r="AK28" i="8" s="1"/>
  <c r="AK32" i="8" s="1"/>
  <c r="AK35" i="8" s="1"/>
  <c r="AK38" i="8" s="1"/>
  <c r="Z56" i="8"/>
  <c r="Z60" i="8" s="1"/>
  <c r="Y68" i="8" l="1"/>
  <c r="AE14" i="3" s="1"/>
  <c r="AE15" i="3" s="1"/>
  <c r="AK29" i="8"/>
  <c r="AL25" i="8" s="1"/>
  <c r="AL28" i="8" s="1"/>
  <c r="AL32" i="8" s="1"/>
  <c r="AL35" i="8" s="1"/>
  <c r="AL38" i="8" s="1"/>
  <c r="Z64" i="8"/>
  <c r="Z63" i="8"/>
  <c r="Z57" i="8"/>
  <c r="AA53" i="8" s="1"/>
  <c r="AE21" i="3" l="1"/>
  <c r="AE25" i="3" s="1"/>
  <c r="AE27" i="3" s="1"/>
  <c r="Z67" i="8"/>
  <c r="AL29" i="8"/>
  <c r="AM25" i="8" s="1"/>
  <c r="AM28" i="8" s="1"/>
  <c r="AM32" i="8" s="1"/>
  <c r="AM35" i="8" s="1"/>
  <c r="AM38" i="8" s="1"/>
  <c r="AA56" i="8"/>
  <c r="AA60" i="8" s="1"/>
  <c r="Z68" i="8" l="1"/>
  <c r="AF14" i="3" s="1"/>
  <c r="AF15" i="3" s="1"/>
  <c r="AM29" i="8"/>
  <c r="AN25" i="8" s="1"/>
  <c r="AN28" i="8" s="1"/>
  <c r="AN32" i="8" s="1"/>
  <c r="AN35" i="8" s="1"/>
  <c r="AN38" i="8" s="1"/>
  <c r="AA64" i="8"/>
  <c r="AA63" i="8"/>
  <c r="AA57" i="8"/>
  <c r="AB53" i="8" s="1"/>
  <c r="AF21" i="3" l="1"/>
  <c r="AF25" i="3" s="1"/>
  <c r="AA67" i="8"/>
  <c r="AN29" i="8"/>
  <c r="AO25" i="8" s="1"/>
  <c r="AO28" i="8" s="1"/>
  <c r="AO32" i="8" s="1"/>
  <c r="AO35" i="8" s="1"/>
  <c r="AO38" i="8" s="1"/>
  <c r="AB56" i="8"/>
  <c r="AB60" i="8" s="1"/>
  <c r="AA68" i="8" l="1"/>
  <c r="AG14" i="3" s="1"/>
  <c r="AG15" i="3" s="1"/>
  <c r="AO29" i="8"/>
  <c r="AP25" i="8" s="1"/>
  <c r="AP28" i="8" s="1"/>
  <c r="AP32" i="8" s="1"/>
  <c r="AP35" i="8" s="1"/>
  <c r="AP38" i="8" s="1"/>
  <c r="AF27" i="3"/>
  <c r="AB64" i="8"/>
  <c r="AB63" i="8"/>
  <c r="AB57" i="8"/>
  <c r="AC53" i="8" s="1"/>
  <c r="AG21" i="3" l="1"/>
  <c r="AG25" i="3" s="1"/>
  <c r="AB67" i="8"/>
  <c r="AP29" i="8"/>
  <c r="AQ25" i="8" s="1"/>
  <c r="AQ28" i="8" s="1"/>
  <c r="AQ32" i="8" s="1"/>
  <c r="AQ35" i="8" s="1"/>
  <c r="AQ38" i="8" s="1"/>
  <c r="AC56" i="8"/>
  <c r="AC60" i="8" s="1"/>
  <c r="AB68" i="8" l="1"/>
  <c r="AH14" i="3" s="1"/>
  <c r="AH15" i="3" s="1"/>
  <c r="AQ29" i="8"/>
  <c r="AR25" i="8" s="1"/>
  <c r="AR28" i="8" s="1"/>
  <c r="AR32" i="8" s="1"/>
  <c r="AR35" i="8" s="1"/>
  <c r="AR38" i="8" s="1"/>
  <c r="AG27" i="3"/>
  <c r="AC64" i="8"/>
  <c r="AC63" i="8"/>
  <c r="AC57" i="8"/>
  <c r="AD53" i="8" s="1"/>
  <c r="AH21" i="3" l="1"/>
  <c r="AH25" i="3" s="1"/>
  <c r="AR29" i="8"/>
  <c r="AS25" i="8" s="1"/>
  <c r="AC67" i="8"/>
  <c r="AD56" i="8"/>
  <c r="AD60" i="8" s="1"/>
  <c r="AC68" i="8" l="1"/>
  <c r="AI14" i="3" s="1"/>
  <c r="AI15" i="3" s="1"/>
  <c r="AS28" i="8"/>
  <c r="AS32" i="8" s="1"/>
  <c r="AS35" i="8" s="1"/>
  <c r="AS38" i="8" s="1"/>
  <c r="AH27" i="3"/>
  <c r="AD64" i="8"/>
  <c r="AD63" i="8"/>
  <c r="AD57" i="8"/>
  <c r="AE53" i="8" s="1"/>
  <c r="AD67" i="8" l="1"/>
  <c r="AS29" i="8"/>
  <c r="AT25" i="8" s="1"/>
  <c r="AT28" i="8" s="1"/>
  <c r="AT32" i="8" s="1"/>
  <c r="AT35" i="8" s="1"/>
  <c r="AT38" i="8" s="1"/>
  <c r="AI21" i="3"/>
  <c r="AI25" i="3" s="1"/>
  <c r="AE56" i="8"/>
  <c r="AE60" i="8" s="1"/>
  <c r="AD68" i="8" l="1"/>
  <c r="AJ14" i="3" s="1"/>
  <c r="AJ15" i="3" s="1"/>
  <c r="AT29" i="8"/>
  <c r="AU25" i="8" s="1"/>
  <c r="AE64" i="8"/>
  <c r="AE63" i="8"/>
  <c r="AE57" i="8"/>
  <c r="AF53" i="8" s="1"/>
  <c r="AJ21" i="3" l="1"/>
  <c r="AJ25" i="3" s="1"/>
  <c r="AJ27" i="3" s="1"/>
  <c r="AE67" i="8"/>
  <c r="AU28" i="8"/>
  <c r="AU32" i="8" s="1"/>
  <c r="AU35" i="8" s="1"/>
  <c r="AU38" i="8" s="1"/>
  <c r="AI27" i="3"/>
  <c r="AF56" i="8"/>
  <c r="AF60" i="8" s="1"/>
  <c r="AE68" i="8" l="1"/>
  <c r="AK14" i="3" s="1"/>
  <c r="AK15" i="3" s="1"/>
  <c r="AU29" i="8"/>
  <c r="AV25" i="8" s="1"/>
  <c r="AV28" i="8" s="1"/>
  <c r="AV32" i="8" s="1"/>
  <c r="AV35" i="8" s="1"/>
  <c r="AV38" i="8" s="1"/>
  <c r="AF64" i="8"/>
  <c r="AF63" i="8"/>
  <c r="AF57" i="8"/>
  <c r="AG53" i="8" s="1"/>
  <c r="AK21" i="3" l="1"/>
  <c r="AK25" i="3" s="1"/>
  <c r="AF67" i="8"/>
  <c r="AV29" i="8"/>
  <c r="AW25" i="8" s="1"/>
  <c r="AW28" i="8" s="1"/>
  <c r="AW32" i="8" s="1"/>
  <c r="AW35" i="8" s="1"/>
  <c r="AW38" i="8" s="1"/>
  <c r="AK27" i="3"/>
  <c r="AG56" i="8"/>
  <c r="AG60" i="8" s="1"/>
  <c r="AF68" i="8" l="1"/>
  <c r="AL14" i="3" s="1"/>
  <c r="AL15" i="3" s="1"/>
  <c r="AW29" i="8"/>
  <c r="AG64" i="8"/>
  <c r="AG63" i="8"/>
  <c r="AG57" i="8"/>
  <c r="AH53" i="8" s="1"/>
  <c r="AL21" i="3" l="1"/>
  <c r="AL25" i="3" s="1"/>
  <c r="AL27" i="3" s="1"/>
  <c r="AG67" i="8"/>
  <c r="AH56" i="8"/>
  <c r="AH60" i="8" s="1"/>
  <c r="AG68" i="8" l="1"/>
  <c r="AM14" i="3" s="1"/>
  <c r="AM15" i="3" s="1"/>
  <c r="AH64" i="8"/>
  <c r="AH63" i="8"/>
  <c r="AH57" i="8"/>
  <c r="AI53" i="8" s="1"/>
  <c r="AM21" i="3" l="1"/>
  <c r="AM25" i="3" s="1"/>
  <c r="AM27" i="3" s="1"/>
  <c r="AH67" i="8"/>
  <c r="AI56" i="8"/>
  <c r="AI60" i="8" s="1"/>
  <c r="AH68" i="8" l="1"/>
  <c r="AN14" i="3" s="1"/>
  <c r="AN15" i="3" s="1"/>
  <c r="AI64" i="8"/>
  <c r="AI63" i="8"/>
  <c r="AI57" i="8"/>
  <c r="AJ53" i="8" s="1"/>
  <c r="AN21" i="3" l="1"/>
  <c r="AN25" i="3" s="1"/>
  <c r="AN27" i="3" s="1"/>
  <c r="AI67" i="8"/>
  <c r="AJ56" i="8"/>
  <c r="AJ60" i="8" s="1"/>
  <c r="AI68" i="8" l="1"/>
  <c r="AO14" i="3" s="1"/>
  <c r="AO15" i="3" s="1"/>
  <c r="AJ64" i="8"/>
  <c r="AJ63" i="8"/>
  <c r="AJ57" i="8"/>
  <c r="AK53" i="8" s="1"/>
  <c r="AO21" i="3" l="1"/>
  <c r="AO25" i="3" s="1"/>
  <c r="AO27" i="3" s="1"/>
  <c r="AJ67" i="8"/>
  <c r="AK56" i="8"/>
  <c r="AK60" i="8" s="1"/>
  <c r="AJ68" i="8" l="1"/>
  <c r="AP14" i="3" s="1"/>
  <c r="AP15" i="3" s="1"/>
  <c r="AK64" i="8"/>
  <c r="AK63" i="8"/>
  <c r="AK57" i="8"/>
  <c r="AL53" i="8" s="1"/>
  <c r="AP21" i="3" l="1"/>
  <c r="AP25" i="3" s="1"/>
  <c r="AP27" i="3" s="1"/>
  <c r="AK67" i="8"/>
  <c r="AL56" i="8"/>
  <c r="AL60" i="8" s="1"/>
  <c r="AK68" i="8" l="1"/>
  <c r="AQ14" i="3" s="1"/>
  <c r="AQ15" i="3" s="1"/>
  <c r="AL64" i="8"/>
  <c r="AL63" i="8"/>
  <c r="AL57" i="8"/>
  <c r="AM53" i="8" s="1"/>
  <c r="AQ21" i="3" l="1"/>
  <c r="AQ25" i="3" s="1"/>
  <c r="AQ27" i="3" s="1"/>
  <c r="AL67" i="8"/>
  <c r="AM56" i="8"/>
  <c r="AM60" i="8" s="1"/>
  <c r="AL68" i="8" l="1"/>
  <c r="AR14" i="3" s="1"/>
  <c r="AR15" i="3" s="1"/>
  <c r="AM57" i="8"/>
  <c r="AN53" i="8" s="1"/>
  <c r="AN56" i="8" s="1"/>
  <c r="AN60" i="8" s="1"/>
  <c r="AM64" i="8"/>
  <c r="AM63" i="8"/>
  <c r="AR21" i="3" l="1"/>
  <c r="AR25" i="3" s="1"/>
  <c r="AR27" i="3" s="1"/>
  <c r="AM67" i="8"/>
  <c r="AN64" i="8"/>
  <c r="AN63" i="8"/>
  <c r="AN57" i="8"/>
  <c r="AO53" i="8" s="1"/>
  <c r="AO56" i="8" s="1"/>
  <c r="AO60" i="8" s="1"/>
  <c r="AM68" i="8" l="1"/>
  <c r="AS14" i="3" s="1"/>
  <c r="AS15" i="3" s="1"/>
  <c r="AN67" i="8"/>
  <c r="AO63" i="8"/>
  <c r="AO64" i="8"/>
  <c r="AO57" i="8"/>
  <c r="AP53" i="8" s="1"/>
  <c r="AS21" i="3" l="1"/>
  <c r="AS25" i="3" s="1"/>
  <c r="AS27" i="3" s="1"/>
  <c r="AN68" i="8"/>
  <c r="AT14" i="3" s="1"/>
  <c r="AT15" i="3" s="1"/>
  <c r="AO67" i="8"/>
  <c r="AP56" i="8"/>
  <c r="AP60" i="8" s="1"/>
  <c r="AT21" i="3" l="1"/>
  <c r="AT25" i="3" s="1"/>
  <c r="AT27" i="3" s="1"/>
  <c r="AO68" i="8"/>
  <c r="AU14" i="3" s="1"/>
  <c r="AU15" i="3" s="1"/>
  <c r="AP64" i="8"/>
  <c r="AP63" i="8"/>
  <c r="AP57" i="8"/>
  <c r="AQ53" i="8" s="1"/>
  <c r="AU21" i="3" l="1"/>
  <c r="AU25" i="3" s="1"/>
  <c r="AU27" i="3" s="1"/>
  <c r="AP67" i="8"/>
  <c r="AQ56" i="8"/>
  <c r="AQ60" i="8" s="1"/>
  <c r="AP68" i="8" l="1"/>
  <c r="AV14" i="3" s="1"/>
  <c r="AV15" i="3" s="1"/>
  <c r="AQ64" i="8"/>
  <c r="AQ63" i="8"/>
  <c r="AQ57" i="8"/>
  <c r="AR53" i="8" s="1"/>
  <c r="AV21" i="3" l="1"/>
  <c r="AV25" i="3" s="1"/>
  <c r="AV27" i="3" s="1"/>
  <c r="AQ67" i="8"/>
  <c r="AR56" i="8"/>
  <c r="AR60" i="8" s="1"/>
  <c r="AQ68" i="8" l="1"/>
  <c r="AW14" i="3" s="1"/>
  <c r="AW15" i="3" s="1"/>
  <c r="AR64" i="8"/>
  <c r="AR63" i="8"/>
  <c r="AR57" i="8"/>
  <c r="AS53" i="8" s="1"/>
  <c r="AW21" i="3" l="1"/>
  <c r="AW25" i="3" s="1"/>
  <c r="AW27" i="3" s="1"/>
  <c r="AR67" i="8"/>
  <c r="AS56" i="8"/>
  <c r="AS60" i="8" s="1"/>
  <c r="AR68" i="8" l="1"/>
  <c r="AX14" i="3" s="1"/>
  <c r="AX15" i="3" s="1"/>
  <c r="AS64" i="8"/>
  <c r="AS63" i="8"/>
  <c r="AS57" i="8"/>
  <c r="AT53" i="8" s="1"/>
  <c r="AX21" i="3" l="1"/>
  <c r="AX25" i="3" s="1"/>
  <c r="AX27" i="3" s="1"/>
  <c r="AS67" i="8"/>
  <c r="AT56" i="8"/>
  <c r="AT60" i="8" s="1"/>
  <c r="AS68" i="8" l="1"/>
  <c r="AY14" i="3" s="1"/>
  <c r="AY15" i="3" s="1"/>
  <c r="AT64" i="8"/>
  <c r="AT63" i="8"/>
  <c r="AT57" i="8"/>
  <c r="AU53" i="8" s="1"/>
  <c r="AU56" i="8" s="1"/>
  <c r="AU60" i="8" s="1"/>
  <c r="AY21" i="3" l="1"/>
  <c r="AY25" i="3" s="1"/>
  <c r="AY27" i="3" s="1"/>
  <c r="AT67" i="8"/>
  <c r="AU64" i="8"/>
  <c r="AU63" i="8"/>
  <c r="AU57" i="8"/>
  <c r="AV53" i="8" s="1"/>
  <c r="AT68" i="8" l="1"/>
  <c r="AZ14" i="3" s="1"/>
  <c r="AZ15" i="3" s="1"/>
  <c r="AU67" i="8"/>
  <c r="AV56" i="8"/>
  <c r="AV60" i="8" s="1"/>
  <c r="AZ21" i="3" l="1"/>
  <c r="AZ25" i="3" s="1"/>
  <c r="AZ27" i="3" s="1"/>
  <c r="AU68" i="8"/>
  <c r="BA14" i="3" s="1"/>
  <c r="BA15" i="3" s="1"/>
  <c r="AV64" i="8"/>
  <c r="AV63" i="8"/>
  <c r="AV57" i="8"/>
  <c r="AW53" i="8" s="1"/>
  <c r="BA21" i="3" l="1"/>
  <c r="BA25" i="3" s="1"/>
  <c r="BA27" i="3" s="1"/>
  <c r="AV67" i="8"/>
  <c r="AW56" i="8"/>
  <c r="AW60" i="8" s="1"/>
  <c r="AV68" i="8" l="1"/>
  <c r="BB14" i="3" s="1"/>
  <c r="BB15" i="3" s="1"/>
  <c r="AW64" i="8"/>
  <c r="AW63" i="8"/>
  <c r="AW57" i="8"/>
  <c r="BB21" i="3" l="1"/>
  <c r="BB25" i="3" s="1"/>
  <c r="BB27" i="3" s="1"/>
  <c r="AW67" i="8"/>
  <c r="AW68" i="8" l="1"/>
  <c r="BC14" i="3" s="1"/>
  <c r="BC15" i="3" s="1"/>
  <c r="F15" i="3" s="1"/>
  <c r="E15" i="3" l="1"/>
  <c r="F14" i="3"/>
  <c r="E14" i="3"/>
  <c r="BC21" i="3"/>
  <c r="BC25" i="3" s="1"/>
  <c r="F21" i="3" l="1"/>
  <c r="E21" i="3"/>
  <c r="E25" i="3"/>
  <c r="BC27" i="3"/>
  <c r="F25" i="3"/>
  <c r="H29" i="3" l="1"/>
  <c r="F27" i="3"/>
  <c r="B6" i="2" l="1"/>
  <c r="F29" i="3"/>
</calcChain>
</file>

<file path=xl/sharedStrings.xml><?xml version="1.0" encoding="utf-8"?>
<sst xmlns="http://schemas.openxmlformats.org/spreadsheetml/2006/main" count="240" uniqueCount="185">
  <si>
    <t>ABA</t>
  </si>
  <si>
    <t>Conteúdo</t>
  </si>
  <si>
    <t>Painel</t>
  </si>
  <si>
    <t>Apresenta informações básicas utilizadas na modelagem</t>
  </si>
  <si>
    <t>DRE</t>
  </si>
  <si>
    <t>Contém o DRE da modelagem, o fluxo de caixa operacional do projeto e o valor da outoraga, para o prazo da permissão.</t>
  </si>
  <si>
    <t>Despesas e Custos</t>
  </si>
  <si>
    <t>Contém os itens de despesas os valores mensais e o cronograma de desembolso</t>
  </si>
  <si>
    <t>Investimentos</t>
  </si>
  <si>
    <t>Contém os investimentos a serem feitos os valores unitários, o cronograma de investimentos.</t>
  </si>
  <si>
    <t>Tributos</t>
  </si>
  <si>
    <t>Receitas</t>
  </si>
  <si>
    <t>Contém as receitas prevsitas pelo modelo referencial, e o cronograma das receitas.</t>
  </si>
  <si>
    <t>Informações Gerais</t>
  </si>
  <si>
    <t>Os valores monetários estão em reais.</t>
  </si>
  <si>
    <t>O período está em meses.</t>
  </si>
  <si>
    <t>Prazo (meses)</t>
  </si>
  <si>
    <t>ao ano</t>
  </si>
  <si>
    <t>ao mês</t>
  </si>
  <si>
    <t>Outorga Fixa</t>
  </si>
  <si>
    <t>WACC</t>
  </si>
  <si>
    <t>Valor Presente Líquido</t>
  </si>
  <si>
    <t>Demanda Mensal</t>
  </si>
  <si>
    <t>Final de semana</t>
  </si>
  <si>
    <t>Veículos</t>
  </si>
  <si>
    <t>Percentual</t>
  </si>
  <si>
    <t>Valores em reais</t>
  </si>
  <si>
    <t>Taxa de Atratividade</t>
  </si>
  <si>
    <t>Mês</t>
  </si>
  <si>
    <t>NPV</t>
  </si>
  <si>
    <t>TOTAL</t>
  </si>
  <si>
    <t>Receita</t>
  </si>
  <si>
    <t>(-) Tributos sobre a receita</t>
  </si>
  <si>
    <t>(=) Receita Líquida</t>
  </si>
  <si>
    <t>(-) Custos e Despesas</t>
  </si>
  <si>
    <t>(=) Resultado Operacional</t>
  </si>
  <si>
    <t>(=) Lucro antes do IR</t>
  </si>
  <si>
    <t>(-) IR</t>
  </si>
  <si>
    <t>(=) Lucro Líquido</t>
  </si>
  <si>
    <t>Fluxo de Caixa</t>
  </si>
  <si>
    <t>Lucro Líquido</t>
  </si>
  <si>
    <t>(-) Investimentos</t>
  </si>
  <si>
    <t>(-) Outorga</t>
  </si>
  <si>
    <t>(=) Fluxo de Caixa Livre</t>
  </si>
  <si>
    <t>Valor Presente</t>
  </si>
  <si>
    <t>Resumo</t>
  </si>
  <si>
    <t>Vigilância</t>
  </si>
  <si>
    <t>Item</t>
  </si>
  <si>
    <t>Valor Mensal</t>
  </si>
  <si>
    <t>Total</t>
  </si>
  <si>
    <t>Média Mensal</t>
  </si>
  <si>
    <t>diurna 7 postos</t>
  </si>
  <si>
    <t>condutor diurno</t>
  </si>
  <si>
    <t>Moto bastão</t>
  </si>
  <si>
    <t>noturno 4 postos</t>
  </si>
  <si>
    <t>Vigilante condutor noturno</t>
  </si>
  <si>
    <t>Locação de um automovel</t>
  </si>
  <si>
    <t>Total (mês)</t>
  </si>
  <si>
    <t>Manutenção</t>
  </si>
  <si>
    <t>Limpeza</t>
  </si>
  <si>
    <t>Salários Gestão</t>
  </si>
  <si>
    <t>Caminhão Pipa</t>
  </si>
  <si>
    <t>Manutenção Gramado</t>
  </si>
  <si>
    <t>Utilidades</t>
  </si>
  <si>
    <t>Poda</t>
  </si>
  <si>
    <t>Manutenção de Bosques</t>
  </si>
  <si>
    <t>Valor unitário</t>
  </si>
  <si>
    <t>volume (litros)</t>
  </si>
  <si>
    <t>Dia de semana</t>
  </si>
  <si>
    <t>final de semana</t>
  </si>
  <si>
    <t>Despesas Administrativas</t>
  </si>
  <si>
    <t>Salário</t>
  </si>
  <si>
    <t>Quantidade</t>
  </si>
  <si>
    <t>Custo total</t>
  </si>
  <si>
    <t>Gerente</t>
  </si>
  <si>
    <t>Adminstração</t>
  </si>
  <si>
    <t>Manutenção Civil</t>
  </si>
  <si>
    <t>Energia Elétrica</t>
  </si>
  <si>
    <t>Água</t>
  </si>
  <si>
    <t>Valor total</t>
  </si>
  <si>
    <t>Nome</t>
  </si>
  <si>
    <t>área (m²)</t>
  </si>
  <si>
    <t>R$/m²</t>
  </si>
  <si>
    <t>Valor</t>
  </si>
  <si>
    <t>Início</t>
  </si>
  <si>
    <t>Tempo</t>
  </si>
  <si>
    <t>final</t>
  </si>
  <si>
    <t>Sanitário</t>
  </si>
  <si>
    <t>Portaria</t>
  </si>
  <si>
    <t>Cameras</t>
  </si>
  <si>
    <t>TV</t>
  </si>
  <si>
    <t>HD</t>
  </si>
  <si>
    <t>Roteador</t>
  </si>
  <si>
    <t>Cronograma de Investimentos</t>
  </si>
  <si>
    <t>CSLL</t>
  </si>
  <si>
    <t>Lucro antes do IR/CSLL</t>
  </si>
  <si>
    <t>Prejuízo fiscal acumulado</t>
  </si>
  <si>
    <t>Geração de novo prejuízo</t>
  </si>
  <si>
    <t>Limite legal de compensação</t>
  </si>
  <si>
    <t>Para CSLL</t>
  </si>
  <si>
    <t>LUCRO CONTÁBIL (DRE)</t>
  </si>
  <si>
    <t>Lucro antes do IR e CSLL</t>
  </si>
  <si>
    <t>AJUSTES LALUR – CSLL</t>
  </si>
  <si>
    <t>Adições (despesas indedutíveis)</t>
  </si>
  <si>
    <t>Exclusões (receitas não tributáveis)</t>
  </si>
  <si>
    <t>LUCRO REAL – CSLL</t>
  </si>
  <si>
    <t>Lucro real antes da compensação</t>
  </si>
  <si>
    <t>PREJUÍZO FISCAL – CONTROLE</t>
  </si>
  <si>
    <t>Prejuízo fiscal acumulado (início)</t>
  </si>
  <si>
    <t>Prejuízo fiscal gerado no período</t>
  </si>
  <si>
    <t>Limite legal de compensação (30%)</t>
  </si>
  <si>
    <t>Prejuízo fiscal compensado</t>
  </si>
  <si>
    <t>Prejuízo fiscal acumulado (final)</t>
  </si>
  <si>
    <t>BASE DE CÁLCULO DA CSLL</t>
  </si>
  <si>
    <t>Base tributável da CSLL</t>
  </si>
  <si>
    <t>CSLL DEVIDA</t>
  </si>
  <si>
    <t>CSLL devida (9%)</t>
  </si>
  <si>
    <t>FLUXO DE CAIXA</t>
  </si>
  <si>
    <t>Pagamento da CSLL</t>
  </si>
  <si>
    <t>Para IR</t>
  </si>
  <si>
    <t>AJUSTES LALUR – IR</t>
  </si>
  <si>
    <t>LUCRO REAL – IR</t>
  </si>
  <si>
    <t>BASE DE CÁLCULO DO IRPJ</t>
  </si>
  <si>
    <t>Base tributável do IRPJ</t>
  </si>
  <si>
    <t>IRPJ DEVIDO</t>
  </si>
  <si>
    <t>IRPJ base (15%)</t>
  </si>
  <si>
    <t>IRPJ adicional (10%)</t>
  </si>
  <si>
    <t>Pagamento da IRPJ</t>
  </si>
  <si>
    <t>PIS</t>
  </si>
  <si>
    <t>COFINS</t>
  </si>
  <si>
    <t>PREMISSAS</t>
  </si>
  <si>
    <t>Aluguel de bike</t>
  </si>
  <si>
    <t>Dias fds</t>
  </si>
  <si>
    <t>Pessoas por dia de final de semana</t>
  </si>
  <si>
    <t>% de uso</t>
  </si>
  <si>
    <t>Valor unitário (R$)</t>
  </si>
  <si>
    <t>% de Repasse</t>
  </si>
  <si>
    <t>Total Mensal (R$)</t>
  </si>
  <si>
    <t>Publicidade</t>
  </si>
  <si>
    <t>Tipo</t>
  </si>
  <si>
    <t>Ticker</t>
  </si>
  <si>
    <t>R$/pessoa/dia</t>
  </si>
  <si>
    <t>pessoas (dia de semana)</t>
  </si>
  <si>
    <t>dias de semana</t>
  </si>
  <si>
    <t>pessoas (fds)</t>
  </si>
  <si>
    <t>valor unitário</t>
  </si>
  <si>
    <t>quantidade</t>
  </si>
  <si>
    <t>% repasse</t>
  </si>
  <si>
    <t>Receita Mensal</t>
  </si>
  <si>
    <t>Marginal</t>
  </si>
  <si>
    <t>sim</t>
  </si>
  <si>
    <t>Patrocínio (1,2x1,84)</t>
  </si>
  <si>
    <t>Placas de km</t>
  </si>
  <si>
    <t>Totens (sinalização) (0,7x2,70)</t>
  </si>
  <si>
    <t>Placas de informação</t>
  </si>
  <si>
    <t>UGC</t>
  </si>
  <si>
    <t>Projetopomar</t>
  </si>
  <si>
    <t>museu</t>
  </si>
  <si>
    <t>centro de vivência</t>
  </si>
  <si>
    <t>Valor de Aluguel por área</t>
  </si>
  <si>
    <t>Eventos</t>
  </si>
  <si>
    <t>R$/usuário</t>
  </si>
  <si>
    <t>Quantidade/Mês</t>
  </si>
  <si>
    <t>Usuários</t>
  </si>
  <si>
    <t>Tipo A</t>
  </si>
  <si>
    <t>Tipo B</t>
  </si>
  <si>
    <t>Tipo C</t>
  </si>
  <si>
    <t>Proporção Ibirapuera (% da publicidade)</t>
  </si>
  <si>
    <t>Estacionamento</t>
  </si>
  <si>
    <t>vagas</t>
  </si>
  <si>
    <t>valor unitário (R$)</t>
  </si>
  <si>
    <t>rotatividade</t>
  </si>
  <si>
    <t>Cronograma de Receitas</t>
  </si>
  <si>
    <t>Itens</t>
  </si>
  <si>
    <t>MÊS DE INÍCIO</t>
  </si>
  <si>
    <t>VALOR</t>
  </si>
  <si>
    <t>Média</t>
  </si>
  <si>
    <t>Pagamento Total IR + CSLL</t>
  </si>
  <si>
    <t>Contém o cáldulo do Imposto de Renda e da Contribuição Social sobre o lucro e tributos sobre a receita.</t>
  </si>
  <si>
    <t>PAINEL DE CONTROLE</t>
  </si>
  <si>
    <t>Investimentos (Total R$)</t>
  </si>
  <si>
    <t>Receita (R$)</t>
  </si>
  <si>
    <t>Custos e Despesas (R$)</t>
  </si>
  <si>
    <t>Margem da receita de publicidade que fica com PP</t>
  </si>
  <si>
    <t>MODELO ECONÔMICO FINANCEIRO - PERMISSÃO DE USO PARQUE BRUNO COVAS (JANEIRO/2026)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</si>
</sst>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&quot;R$&quot;\ #,##0.00"/>
    <numFmt numFmtId="165" formatCode="#,##0;[Red]\(#,##0\);\-"/>
    <numFmt numFmtId="166" formatCode="&quot;R$&quot;\ #,##0.00;[Red]&quot;R$&quot;\ 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wrapText="1"/>
    </xf>
    <xf numFmtId="1" fontId="0" fillId="0" borderId="0" xfId="0" applyNumberFormat="1" applyAlignment="1">
      <alignment horizontal="center"/>
    </xf>
    <xf numFmtId="10" fontId="0" fillId="0" borderId="0" xfId="0" applyNumberFormat="1"/>
    <xf numFmtId="9" fontId="0" fillId="0" borderId="0" xfId="0" applyNumberFormat="1"/>
    <xf numFmtId="0" fontId="2" fillId="2" borderId="0" xfId="0" applyFont="1" applyFill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10" fontId="0" fillId="0" borderId="0" xfId="2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44" fontId="0" fillId="0" borderId="0" xfId="1" applyFont="1"/>
    <xf numFmtId="44" fontId="2" fillId="0" borderId="0" xfId="1" applyFont="1"/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/>
    <xf numFmtId="0" fontId="2" fillId="4" borderId="2" xfId="0" applyFont="1" applyFill="1" applyBorder="1"/>
    <xf numFmtId="0" fontId="3" fillId="2" borderId="0" xfId="0" applyFont="1" applyFill="1" applyAlignment="1">
      <alignment horizontal="center"/>
    </xf>
    <xf numFmtId="165" fontId="2" fillId="0" borderId="0" xfId="0" applyNumberFormat="1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0" fillId="0" borderId="0" xfId="0" applyNumberForma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3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Despesas e Custos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'Despesas e Custos'!$F$36:$BA$36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'Despesas e Custos'!$F$43:$BA$43</c:f>
              <c:numCache>
                <c:formatCode>"R$"\ #,##0.00</c:formatCode>
                <c:ptCount val="48"/>
                <c:pt idx="0">
                  <c:v>318945.59499999997</c:v>
                </c:pt>
                <c:pt idx="1">
                  <c:v>318945.59499999997</c:v>
                </c:pt>
                <c:pt idx="2">
                  <c:v>318945.59499999997</c:v>
                </c:pt>
                <c:pt idx="3">
                  <c:v>318945.59499999997</c:v>
                </c:pt>
                <c:pt idx="4">
                  <c:v>318945.59499999997</c:v>
                </c:pt>
                <c:pt idx="5">
                  <c:v>318945.59499999997</c:v>
                </c:pt>
                <c:pt idx="6">
                  <c:v>318945.59499999997</c:v>
                </c:pt>
                <c:pt idx="7">
                  <c:v>318945.59499999997</c:v>
                </c:pt>
                <c:pt idx="8">
                  <c:v>437462.46999999991</c:v>
                </c:pt>
                <c:pt idx="9">
                  <c:v>437462.46999999991</c:v>
                </c:pt>
                <c:pt idx="10">
                  <c:v>437462.46999999991</c:v>
                </c:pt>
                <c:pt idx="11">
                  <c:v>437462.46999999991</c:v>
                </c:pt>
                <c:pt idx="12">
                  <c:v>437462.46999999991</c:v>
                </c:pt>
                <c:pt idx="13">
                  <c:v>437462.46999999991</c:v>
                </c:pt>
                <c:pt idx="14">
                  <c:v>437462.46999999991</c:v>
                </c:pt>
                <c:pt idx="15">
                  <c:v>437462.46999999991</c:v>
                </c:pt>
                <c:pt idx="16">
                  <c:v>437462.46999999991</c:v>
                </c:pt>
                <c:pt idx="17">
                  <c:v>437462.46999999991</c:v>
                </c:pt>
                <c:pt idx="18">
                  <c:v>437462.46999999991</c:v>
                </c:pt>
                <c:pt idx="19">
                  <c:v>437462.46999999991</c:v>
                </c:pt>
                <c:pt idx="20">
                  <c:v>437462.46999999991</c:v>
                </c:pt>
                <c:pt idx="21">
                  <c:v>437462.46999999991</c:v>
                </c:pt>
                <c:pt idx="22">
                  <c:v>437462.46999999991</c:v>
                </c:pt>
                <c:pt idx="23">
                  <c:v>437462.46999999991</c:v>
                </c:pt>
                <c:pt idx="24">
                  <c:v>437462.46999999991</c:v>
                </c:pt>
                <c:pt idx="25">
                  <c:v>437462.46999999991</c:v>
                </c:pt>
                <c:pt idx="26">
                  <c:v>437462.46999999991</c:v>
                </c:pt>
                <c:pt idx="27">
                  <c:v>437462.46999999991</c:v>
                </c:pt>
                <c:pt idx="28">
                  <c:v>437462.46999999991</c:v>
                </c:pt>
                <c:pt idx="29">
                  <c:v>437462.46999999991</c:v>
                </c:pt>
                <c:pt idx="30">
                  <c:v>437462.46999999991</c:v>
                </c:pt>
                <c:pt idx="31">
                  <c:v>437462.46999999991</c:v>
                </c:pt>
                <c:pt idx="32">
                  <c:v>437462.46999999991</c:v>
                </c:pt>
                <c:pt idx="33">
                  <c:v>437462.46999999991</c:v>
                </c:pt>
                <c:pt idx="34">
                  <c:v>437462.46999999991</c:v>
                </c:pt>
                <c:pt idx="35">
                  <c:v>437462.46999999991</c:v>
                </c:pt>
                <c:pt idx="36">
                  <c:v>437462.46999999991</c:v>
                </c:pt>
                <c:pt idx="37">
                  <c:v>437462.46999999991</c:v>
                </c:pt>
                <c:pt idx="38">
                  <c:v>437462.46999999991</c:v>
                </c:pt>
                <c:pt idx="39">
                  <c:v>437462.46999999991</c:v>
                </c:pt>
                <c:pt idx="40">
                  <c:v>437462.46999999991</c:v>
                </c:pt>
                <c:pt idx="41">
                  <c:v>437462.46999999991</c:v>
                </c:pt>
                <c:pt idx="42">
                  <c:v>437462.46999999991</c:v>
                </c:pt>
                <c:pt idx="43">
                  <c:v>437462.46999999991</c:v>
                </c:pt>
                <c:pt idx="44">
                  <c:v>437462.46999999991</c:v>
                </c:pt>
                <c:pt idx="45">
                  <c:v>437462.46999999991</c:v>
                </c:pt>
                <c:pt idx="46">
                  <c:v>437462.46999999991</c:v>
                </c:pt>
                <c:pt idx="47">
                  <c:v>437462.46999999991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0-48F8-B5B6-EA93CBD9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713824"/>
        <c:axId val="1638712384"/>
      </c:barChart>
      <c:catAx>
        <c:axId val="163871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8712384"/>
        <c:crosses val="autoZero"/>
        <c:auto val="1"/>
        <c:lblAlgn val="ctr"/>
        <c:lblOffset val="100"/>
        <c:noMultiLvlLbl val="0"/>
      </c:catAx>
      <c:valAx>
        <c:axId val="16387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871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Cronograma de Investimentos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Investimentos!$D$11:$AY$11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Investimentos!$D$21:$AY$21</c:f>
              <c:numCache>
                <c:formatCode>"R$"\ #,##0.00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4854</c:v>
                </c:pt>
                <c:pt idx="3">
                  <c:v>4854</c:v>
                </c:pt>
                <c:pt idx="4">
                  <c:v>4854</c:v>
                </c:pt>
                <c:pt idx="5">
                  <c:v>58365.600000000006</c:v>
                </c:pt>
                <c:pt idx="6">
                  <c:v>26211.600000000002</c:v>
                </c:pt>
                <c:pt idx="7">
                  <c:v>26211.600000000002</c:v>
                </c:pt>
                <c:pt idx="8">
                  <c:v>26211.600000000002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1-4AA4-AB28-0B3CC9A3F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235920"/>
        <c:axId val="787999904"/>
      </c:barChart>
      <c:catAx>
        <c:axId val="91423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7999904"/>
        <c:crosses val="autoZero"/>
        <c:auto val="1"/>
        <c:lblAlgn val="ctr"/>
        <c:lblOffset val="100"/>
        <c:noMultiLvlLbl val="0"/>
      </c:catAx>
      <c:valAx>
        <c:axId val="78799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423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Cronograma de Receitas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Receitas!$G$35:$BB$35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Receitas!$G$42:$BB$42</c:f>
              <c:numCache>
                <c:formatCode>"R$"\ #,##0.00</c:formatCode>
                <c:ptCount val="48"/>
                <c:pt idx="0">
                  <c:v>0</c:v>
                </c:pt>
                <c:pt idx="1">
                  <c:v>7322.4000000000005</c:v>
                </c:pt>
                <c:pt idx="2">
                  <c:v>7322.4000000000005</c:v>
                </c:pt>
                <c:pt idx="3">
                  <c:v>30122.73</c:v>
                </c:pt>
                <c:pt idx="4">
                  <c:v>30122.73</c:v>
                </c:pt>
                <c:pt idx="5">
                  <c:v>505323.65716061176</c:v>
                </c:pt>
                <c:pt idx="6">
                  <c:v>505323.65716061176</c:v>
                </c:pt>
                <c:pt idx="7">
                  <c:v>505323.65716061176</c:v>
                </c:pt>
                <c:pt idx="8">
                  <c:v>505323.65716061176</c:v>
                </c:pt>
                <c:pt idx="9">
                  <c:v>505323.65716061176</c:v>
                </c:pt>
                <c:pt idx="10">
                  <c:v>505323.65716061176</c:v>
                </c:pt>
                <c:pt idx="11">
                  <c:v>505323.65716061176</c:v>
                </c:pt>
                <c:pt idx="12">
                  <c:v>505323.65716061176</c:v>
                </c:pt>
                <c:pt idx="13">
                  <c:v>505323.65716061176</c:v>
                </c:pt>
                <c:pt idx="14">
                  <c:v>505323.65716061176</c:v>
                </c:pt>
                <c:pt idx="15">
                  <c:v>505323.65716061176</c:v>
                </c:pt>
                <c:pt idx="16">
                  <c:v>505323.65716061176</c:v>
                </c:pt>
                <c:pt idx="17">
                  <c:v>505323.65716061176</c:v>
                </c:pt>
                <c:pt idx="18">
                  <c:v>505323.65716061176</c:v>
                </c:pt>
                <c:pt idx="19">
                  <c:v>505323.65716061176</c:v>
                </c:pt>
                <c:pt idx="20">
                  <c:v>505323.65716061176</c:v>
                </c:pt>
                <c:pt idx="21">
                  <c:v>505323.65716061176</c:v>
                </c:pt>
                <c:pt idx="22">
                  <c:v>505323.65716061176</c:v>
                </c:pt>
                <c:pt idx="23">
                  <c:v>505323.65716061176</c:v>
                </c:pt>
                <c:pt idx="24">
                  <c:v>505323.65716061176</c:v>
                </c:pt>
                <c:pt idx="25">
                  <c:v>505323.65716061176</c:v>
                </c:pt>
                <c:pt idx="26">
                  <c:v>505323.65716061176</c:v>
                </c:pt>
                <c:pt idx="27">
                  <c:v>505323.65716061176</c:v>
                </c:pt>
                <c:pt idx="28">
                  <c:v>505323.65716061176</c:v>
                </c:pt>
                <c:pt idx="29">
                  <c:v>505323.65716061176</c:v>
                </c:pt>
                <c:pt idx="30">
                  <c:v>505323.65716061176</c:v>
                </c:pt>
                <c:pt idx="31">
                  <c:v>505323.65716061176</c:v>
                </c:pt>
                <c:pt idx="32">
                  <c:v>505323.65716061176</c:v>
                </c:pt>
                <c:pt idx="33">
                  <c:v>505323.65716061176</c:v>
                </c:pt>
                <c:pt idx="34">
                  <c:v>505323.65716061176</c:v>
                </c:pt>
                <c:pt idx="35">
                  <c:v>505323.65716061176</c:v>
                </c:pt>
                <c:pt idx="36">
                  <c:v>505323.65716061176</c:v>
                </c:pt>
                <c:pt idx="37">
                  <c:v>505323.65716061176</c:v>
                </c:pt>
                <c:pt idx="38">
                  <c:v>505323.65716061176</c:v>
                </c:pt>
                <c:pt idx="39">
                  <c:v>505323.65716061176</c:v>
                </c:pt>
                <c:pt idx="40">
                  <c:v>505323.65716061176</c:v>
                </c:pt>
                <c:pt idx="41">
                  <c:v>505323.65716061176</c:v>
                </c:pt>
                <c:pt idx="42">
                  <c:v>505323.65716061176</c:v>
                </c:pt>
                <c:pt idx="43">
                  <c:v>505323.65716061176</c:v>
                </c:pt>
                <c:pt idx="44">
                  <c:v>505323.65716061176</c:v>
                </c:pt>
                <c:pt idx="45">
                  <c:v>505323.65716061176</c:v>
                </c:pt>
                <c:pt idx="46">
                  <c:v>505323.65716061176</c:v>
                </c:pt>
                <c:pt idx="47">
                  <c:v>505323.65716061176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B-4DFA-8824-05B7B822B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001344"/>
        <c:axId val="787998464"/>
      </c:barChart>
      <c:catAx>
        <c:axId val="788001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7998464"/>
        <c:crosses val="autoZero"/>
        <c:auto val="1"/>
        <c:lblAlgn val="ctr"/>
        <c:lblOffset val="100"/>
        <c:noMultiLvlLbl val="0"/>
      </c:catAx>
      <c:valAx>
        <c:axId val="7879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8800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9E85E3-D891-461B-81AE-67EB8C1D2C54}">
  <sheetPr/>
  <sheetViews>
    <sheetView zoomScale="84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DAB675A-396A-42AD-A761-5205443653AD}">
  <sheetPr/>
  <sheetViews>
    <sheetView zoomScale="84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7033250-634A-43D1-9B94-E509E5D69B8D}">
  <sheetPr/>
  <sheetViews>
    <sheetView zoomScale="84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4457589" cy="90033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CF5BBA-D39C-C7A7-5D52-BFE9934794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4457589" cy="90033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9D3380-ACA1-6868-8B2E-D55B6AF7C8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4457589" cy="90033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410830-3FF6-357B-DCF7-FFCC3A5A34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716-4547-4C1E-8522-C42876A0AD8A}">
  <dimension ref="A1:B12"/>
  <sheetViews>
    <sheetView tabSelected="1" workbookViewId="0">
      <selection activeCell="A9" sqref="A9"/>
    </sheetView>
  </sheetViews>
  <sheetFormatPr defaultRowHeight="14.5" x14ac:dyDescent="0.35"/>
  <cols>
    <col min="1" max="1" width="17.7265625" bestFit="1" customWidth="1"/>
    <col min="2" max="2" width="109.54296875" bestFit="1" customWidth="1"/>
  </cols>
  <sheetData>
    <row r="1" spans="1:2" x14ac:dyDescent="0.35">
      <c r="A1" s="49" t="s">
        <v>184</v>
      </c>
      <c r="B1" s="49"/>
    </row>
    <row r="2" spans="1:2" x14ac:dyDescent="0.35">
      <c r="A2" s="30" t="s">
        <v>0</v>
      </c>
      <c r="B2" s="30" t="s">
        <v>1</v>
      </c>
    </row>
    <row r="3" spans="1:2" x14ac:dyDescent="0.35">
      <c r="A3" s="25" t="s">
        <v>2</v>
      </c>
      <c r="B3" s="25" t="s">
        <v>3</v>
      </c>
    </row>
    <row r="4" spans="1:2" x14ac:dyDescent="0.35">
      <c r="A4" s="25" t="s">
        <v>4</v>
      </c>
      <c r="B4" s="25" t="s">
        <v>5</v>
      </c>
    </row>
    <row r="5" spans="1:2" x14ac:dyDescent="0.35">
      <c r="A5" s="25" t="s">
        <v>6</v>
      </c>
      <c r="B5" s="25" t="s">
        <v>7</v>
      </c>
    </row>
    <row r="6" spans="1:2" x14ac:dyDescent="0.35">
      <c r="A6" s="25" t="s">
        <v>8</v>
      </c>
      <c r="B6" s="25" t="s">
        <v>9</v>
      </c>
    </row>
    <row r="7" spans="1:2" x14ac:dyDescent="0.35">
      <c r="A7" s="25" t="s">
        <v>10</v>
      </c>
      <c r="B7" s="25" t="s">
        <v>178</v>
      </c>
    </row>
    <row r="8" spans="1:2" x14ac:dyDescent="0.35">
      <c r="A8" s="25" t="s">
        <v>11</v>
      </c>
      <c r="B8" s="25" t="s">
        <v>12</v>
      </c>
    </row>
    <row r="10" spans="1:2" x14ac:dyDescent="0.35">
      <c r="B10" s="29" t="s">
        <v>13</v>
      </c>
    </row>
    <row r="11" spans="1:2" x14ac:dyDescent="0.35">
      <c r="B11" t="s">
        <v>14</v>
      </c>
    </row>
    <row r="12" spans="1:2" x14ac:dyDescent="0.35">
      <c r="B12" t="s">
        <v>15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BB75-9BE4-4193-BC6F-E5F6444E5045}">
  <dimension ref="A1:G16"/>
  <sheetViews>
    <sheetView workbookViewId="0">
      <selection activeCell="C6" sqref="C6"/>
    </sheetView>
  </sheetViews>
  <sheetFormatPr defaultRowHeight="14.5" x14ac:dyDescent="0.35"/>
  <cols>
    <col min="1" max="1" width="25.26953125" customWidth="1"/>
    <col min="2" max="2" width="18.1796875" bestFit="1" customWidth="1"/>
    <col min="3" max="3" width="12.7265625" bestFit="1" customWidth="1"/>
    <col min="5" max="5" width="12.1796875" bestFit="1" customWidth="1"/>
    <col min="6" max="6" width="15.453125" bestFit="1" customWidth="1"/>
  </cols>
  <sheetData>
    <row r="1" spans="1:7" ht="21" x14ac:dyDescent="0.5">
      <c r="A1" s="48" t="s">
        <v>179</v>
      </c>
      <c r="B1" s="48"/>
      <c r="C1" s="48"/>
      <c r="D1" s="48"/>
      <c r="E1" s="48"/>
      <c r="F1" s="48"/>
      <c r="G1" s="48"/>
    </row>
    <row r="2" spans="1:7" x14ac:dyDescent="0.35">
      <c r="A2" s="17" t="s">
        <v>16</v>
      </c>
      <c r="B2" s="1">
        <v>48</v>
      </c>
    </row>
    <row r="3" spans="1:7" x14ac:dyDescent="0.35">
      <c r="B3" s="1" t="s">
        <v>17</v>
      </c>
      <c r="C3" s="1" t="s">
        <v>18</v>
      </c>
      <c r="G3" s="33"/>
    </row>
    <row r="4" spans="1:7" x14ac:dyDescent="0.35">
      <c r="A4" s="17" t="s">
        <v>20</v>
      </c>
      <c r="B4" s="2">
        <v>0.1186</v>
      </c>
      <c r="C4" s="2">
        <f>(1+B4)^(1/12)-1</f>
        <v>9.383577558729872E-3</v>
      </c>
      <c r="F4" s="33"/>
      <c r="G4" s="33"/>
    </row>
    <row r="5" spans="1:7" x14ac:dyDescent="0.35">
      <c r="A5" s="17" t="s">
        <v>19</v>
      </c>
      <c r="B5" s="34">
        <v>73569.929999999993</v>
      </c>
    </row>
    <row r="6" spans="1:7" x14ac:dyDescent="0.35">
      <c r="A6" s="17" t="s">
        <v>21</v>
      </c>
      <c r="B6" s="34">
        <f>DRE!H29</f>
        <v>1.3860699255019426E-9</v>
      </c>
    </row>
    <row r="7" spans="1:7" x14ac:dyDescent="0.35">
      <c r="A7" s="17" t="s">
        <v>22</v>
      </c>
      <c r="B7" s="1">
        <v>226000</v>
      </c>
    </row>
    <row r="8" spans="1:7" x14ac:dyDescent="0.35">
      <c r="A8" s="17" t="s">
        <v>23</v>
      </c>
      <c r="B8" s="15">
        <v>0.6</v>
      </c>
    </row>
    <row r="9" spans="1:7" x14ac:dyDescent="0.35">
      <c r="A9" s="17" t="s">
        <v>24</v>
      </c>
      <c r="B9" s="8">
        <v>610000</v>
      </c>
    </row>
    <row r="10" spans="1:7" x14ac:dyDescent="0.35">
      <c r="A10" s="17" t="s">
        <v>25</v>
      </c>
      <c r="B10" s="2">
        <v>0.85</v>
      </c>
    </row>
    <row r="11" spans="1:7" ht="29" x14ac:dyDescent="0.35">
      <c r="A11" s="47" t="s">
        <v>183</v>
      </c>
      <c r="B11" s="2">
        <v>1.6604220354960099E-2</v>
      </c>
    </row>
    <row r="12" spans="1:7" x14ac:dyDescent="0.35">
      <c r="A12" s="17" t="s">
        <v>180</v>
      </c>
      <c r="B12" s="34">
        <f>Investimentos!B21</f>
        <v>151562.40000000002</v>
      </c>
    </row>
    <row r="14" spans="1:7" x14ac:dyDescent="0.35">
      <c r="B14" s="13" t="s">
        <v>49</v>
      </c>
      <c r="C14" s="13" t="s">
        <v>176</v>
      </c>
    </row>
    <row r="15" spans="1:7" x14ac:dyDescent="0.35">
      <c r="A15" s="17" t="s">
        <v>181</v>
      </c>
      <c r="B15" s="34">
        <f>Receitas!E42</f>
        <v>21803807.517906301</v>
      </c>
      <c r="C15" s="34">
        <f>Receitas!F42</f>
        <v>454245.98995638127</v>
      </c>
    </row>
    <row r="16" spans="1:7" x14ac:dyDescent="0.35">
      <c r="A16" s="17" t="s">
        <v>182</v>
      </c>
      <c r="B16" s="34">
        <f>'Despesas e Custos'!C43</f>
        <v>20050063.559999991</v>
      </c>
      <c r="C16" s="34">
        <f>'Despesas e Custos'!D43</f>
        <v>417709.65749999986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AFFD-6BC9-46D7-89E9-5EAFA51B752D}">
  <dimension ref="B1:BC29"/>
  <sheetViews>
    <sheetView workbookViewId="0">
      <selection activeCell="C2" sqref="C2"/>
    </sheetView>
  </sheetViews>
  <sheetFormatPr defaultRowHeight="14.5" x14ac:dyDescent="0.35"/>
  <cols>
    <col min="2" max="2" width="24.7265625" bestFit="1" customWidth="1"/>
    <col min="5" max="6" width="15.453125" bestFit="1" customWidth="1"/>
    <col min="8" max="11" width="13.54296875" bestFit="1" customWidth="1"/>
    <col min="12" max="55" width="12.7265625" bestFit="1" customWidth="1"/>
  </cols>
  <sheetData>
    <row r="1" spans="2:55" x14ac:dyDescent="0.35">
      <c r="B1" t="s">
        <v>26</v>
      </c>
    </row>
    <row r="2" spans="2:55" x14ac:dyDescent="0.35">
      <c r="B2" t="s">
        <v>27</v>
      </c>
      <c r="C2" s="9">
        <f>Painel!C4</f>
        <v>9.383577558729872E-3</v>
      </c>
      <c r="D2" s="9"/>
      <c r="E2" s="9"/>
      <c r="F2" s="9"/>
    </row>
    <row r="4" spans="2:55" ht="21" x14ac:dyDescent="0.5"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</row>
    <row r="5" spans="2:55" x14ac:dyDescent="0.35">
      <c r="B5" t="s">
        <v>28</v>
      </c>
      <c r="E5" t="s">
        <v>29</v>
      </c>
      <c r="F5" t="s">
        <v>30</v>
      </c>
      <c r="H5" s="13">
        <v>1</v>
      </c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>
        <v>9</v>
      </c>
      <c r="Q5" s="13">
        <v>10</v>
      </c>
      <c r="R5" s="13">
        <v>11</v>
      </c>
      <c r="S5" s="13">
        <v>12</v>
      </c>
      <c r="T5" s="13">
        <v>13</v>
      </c>
      <c r="U5" s="13">
        <v>14</v>
      </c>
      <c r="V5" s="13">
        <v>15</v>
      </c>
      <c r="W5" s="13">
        <v>16</v>
      </c>
      <c r="X5" s="13">
        <v>17</v>
      </c>
      <c r="Y5" s="13">
        <v>18</v>
      </c>
      <c r="Z5" s="13">
        <v>19</v>
      </c>
      <c r="AA5" s="13">
        <v>20</v>
      </c>
      <c r="AB5" s="13">
        <v>21</v>
      </c>
      <c r="AC5" s="13">
        <v>22</v>
      </c>
      <c r="AD5" s="13">
        <v>23</v>
      </c>
      <c r="AE5" s="13">
        <v>24</v>
      </c>
      <c r="AF5" s="13">
        <v>25</v>
      </c>
      <c r="AG5" s="13">
        <v>26</v>
      </c>
      <c r="AH5" s="13">
        <v>27</v>
      </c>
      <c r="AI5" s="13">
        <v>28</v>
      </c>
      <c r="AJ5" s="13">
        <v>29</v>
      </c>
      <c r="AK5" s="13">
        <v>30</v>
      </c>
      <c r="AL5" s="13">
        <v>31</v>
      </c>
      <c r="AM5" s="13">
        <v>32</v>
      </c>
      <c r="AN5" s="13">
        <v>33</v>
      </c>
      <c r="AO5" s="13">
        <v>34</v>
      </c>
      <c r="AP5" s="13">
        <v>35</v>
      </c>
      <c r="AQ5" s="13">
        <v>36</v>
      </c>
      <c r="AR5" s="13">
        <v>37</v>
      </c>
      <c r="AS5" s="13">
        <v>38</v>
      </c>
      <c r="AT5" s="13">
        <v>39</v>
      </c>
      <c r="AU5" s="13">
        <v>40</v>
      </c>
      <c r="AV5" s="13">
        <v>41</v>
      </c>
      <c r="AW5" s="13">
        <v>42</v>
      </c>
      <c r="AX5" s="13">
        <v>43</v>
      </c>
      <c r="AY5" s="13">
        <v>44</v>
      </c>
      <c r="AZ5" s="13">
        <v>45</v>
      </c>
      <c r="BA5" s="13">
        <v>46</v>
      </c>
      <c r="BB5" s="13">
        <v>47</v>
      </c>
      <c r="BC5" s="13">
        <v>48</v>
      </c>
    </row>
    <row r="8" spans="2:55" s="33" customFormat="1" x14ac:dyDescent="0.35">
      <c r="B8" s="32" t="s">
        <v>31</v>
      </c>
      <c r="E8" s="33">
        <f>NPV($C$2,H8:BC8)</f>
        <v>17071448.197325453</v>
      </c>
      <c r="F8" s="33">
        <f>+SUM(H8:BC8)</f>
        <v>21803807.51790629</v>
      </c>
      <c r="H8" s="34">
        <f>Receitas!G42</f>
        <v>0</v>
      </c>
      <c r="I8" s="34">
        <f>Receitas!H42</f>
        <v>7322.4000000000005</v>
      </c>
      <c r="J8" s="34">
        <f>Receitas!I42</f>
        <v>7322.4000000000005</v>
      </c>
      <c r="K8" s="34">
        <f>Receitas!J42</f>
        <v>30122.73</v>
      </c>
      <c r="L8" s="34">
        <f>Receitas!K42</f>
        <v>30122.73</v>
      </c>
      <c r="M8" s="34">
        <f>Receitas!L42</f>
        <v>505323.65716061176</v>
      </c>
      <c r="N8" s="34">
        <f>Receitas!M42</f>
        <v>505323.65716061176</v>
      </c>
      <c r="O8" s="34">
        <f>Receitas!N42</f>
        <v>505323.65716061176</v>
      </c>
      <c r="P8" s="34">
        <f>Receitas!O42</f>
        <v>505323.65716061176</v>
      </c>
      <c r="Q8" s="34">
        <f>Receitas!P42</f>
        <v>505323.65716061176</v>
      </c>
      <c r="R8" s="34">
        <f>Receitas!Q42</f>
        <v>505323.65716061176</v>
      </c>
      <c r="S8" s="34">
        <f>Receitas!R42</f>
        <v>505323.65716061176</v>
      </c>
      <c r="T8" s="34">
        <f>Receitas!S42</f>
        <v>505323.65716061176</v>
      </c>
      <c r="U8" s="34">
        <f>Receitas!T42</f>
        <v>505323.65716061176</v>
      </c>
      <c r="V8" s="34">
        <f>Receitas!U42</f>
        <v>505323.65716061176</v>
      </c>
      <c r="W8" s="34">
        <f>Receitas!V42</f>
        <v>505323.65716061176</v>
      </c>
      <c r="X8" s="34">
        <f>Receitas!W42</f>
        <v>505323.65716061176</v>
      </c>
      <c r="Y8" s="34">
        <f>Receitas!X42</f>
        <v>505323.65716061176</v>
      </c>
      <c r="Z8" s="34">
        <f>Receitas!Y42</f>
        <v>505323.65716061176</v>
      </c>
      <c r="AA8" s="34">
        <f>Receitas!Z42</f>
        <v>505323.65716061176</v>
      </c>
      <c r="AB8" s="34">
        <f>Receitas!AA42</f>
        <v>505323.65716061176</v>
      </c>
      <c r="AC8" s="34">
        <f>Receitas!AB42</f>
        <v>505323.65716061176</v>
      </c>
      <c r="AD8" s="34">
        <f>Receitas!AC42</f>
        <v>505323.65716061176</v>
      </c>
      <c r="AE8" s="34">
        <f>Receitas!AD42</f>
        <v>505323.65716061176</v>
      </c>
      <c r="AF8" s="34">
        <f>Receitas!AE42</f>
        <v>505323.65716061176</v>
      </c>
      <c r="AG8" s="34">
        <f>Receitas!AF42</f>
        <v>505323.65716061176</v>
      </c>
      <c r="AH8" s="34">
        <f>Receitas!AG42</f>
        <v>505323.65716061176</v>
      </c>
      <c r="AI8" s="34">
        <f>Receitas!AH42</f>
        <v>505323.65716061176</v>
      </c>
      <c r="AJ8" s="34">
        <f>Receitas!AI42</f>
        <v>505323.65716061176</v>
      </c>
      <c r="AK8" s="34">
        <f>Receitas!AJ42</f>
        <v>505323.65716061176</v>
      </c>
      <c r="AL8" s="34">
        <f>Receitas!AK42</f>
        <v>505323.65716061176</v>
      </c>
      <c r="AM8" s="34">
        <f>Receitas!AL42</f>
        <v>505323.65716061176</v>
      </c>
      <c r="AN8" s="34">
        <f>Receitas!AM42</f>
        <v>505323.65716061176</v>
      </c>
      <c r="AO8" s="34">
        <f>Receitas!AN42</f>
        <v>505323.65716061176</v>
      </c>
      <c r="AP8" s="34">
        <f>Receitas!AO42</f>
        <v>505323.65716061176</v>
      </c>
      <c r="AQ8" s="34">
        <f>Receitas!AP42</f>
        <v>505323.65716061176</v>
      </c>
      <c r="AR8" s="34">
        <f>Receitas!AQ42</f>
        <v>505323.65716061176</v>
      </c>
      <c r="AS8" s="34">
        <f>Receitas!AR42</f>
        <v>505323.65716061176</v>
      </c>
      <c r="AT8" s="34">
        <f>Receitas!AS42</f>
        <v>505323.65716061176</v>
      </c>
      <c r="AU8" s="34">
        <f>Receitas!AT42</f>
        <v>505323.65716061176</v>
      </c>
      <c r="AV8" s="34">
        <f>Receitas!AU42</f>
        <v>505323.65716061176</v>
      </c>
      <c r="AW8" s="34">
        <f>Receitas!AV42</f>
        <v>505323.65716061176</v>
      </c>
      <c r="AX8" s="34">
        <f>Receitas!AW42</f>
        <v>505323.65716061176</v>
      </c>
      <c r="AY8" s="34">
        <f>Receitas!AX42</f>
        <v>505323.65716061176</v>
      </c>
      <c r="AZ8" s="34">
        <f>Receitas!AY42</f>
        <v>505323.65716061176</v>
      </c>
      <c r="BA8" s="34">
        <f>Receitas!AZ42</f>
        <v>505323.65716061176</v>
      </c>
      <c r="BB8" s="34">
        <f>Receitas!BA42</f>
        <v>505323.65716061176</v>
      </c>
      <c r="BC8" s="34">
        <f>Receitas!BB42</f>
        <v>505323.65716061176</v>
      </c>
    </row>
    <row r="9" spans="2:55" s="33" customFormat="1" x14ac:dyDescent="0.35">
      <c r="B9" s="32" t="s">
        <v>32</v>
      </c>
      <c r="H9" s="34">
        <f>Tributos!B78</f>
        <v>0</v>
      </c>
      <c r="I9" s="34">
        <f>Tributos!C78</f>
        <v>267.26760000000002</v>
      </c>
      <c r="J9" s="34">
        <f>Tributos!D78</f>
        <v>267.26760000000002</v>
      </c>
      <c r="K9" s="34">
        <f>Tributos!E78</f>
        <v>1099.4796449999999</v>
      </c>
      <c r="L9" s="34">
        <f>Tributos!F78</f>
        <v>1099.4796449999999</v>
      </c>
      <c r="M9" s="34">
        <f>Tributos!G78</f>
        <v>18444.313486362327</v>
      </c>
      <c r="N9" s="34">
        <f>Tributos!H78</f>
        <v>18444.313486362327</v>
      </c>
      <c r="O9" s="34">
        <f>Tributos!I78</f>
        <v>18444.313486362327</v>
      </c>
      <c r="P9" s="34">
        <f>Tributos!J78</f>
        <v>18444.313486362327</v>
      </c>
      <c r="Q9" s="34">
        <f>Tributos!K78</f>
        <v>18444.313486362327</v>
      </c>
      <c r="R9" s="34">
        <f>Tributos!L78</f>
        <v>18444.313486362327</v>
      </c>
      <c r="S9" s="34">
        <f>Tributos!M78</f>
        <v>18444.313486362327</v>
      </c>
      <c r="T9" s="34">
        <f>Tributos!N78</f>
        <v>18444.313486362327</v>
      </c>
      <c r="U9" s="34">
        <f>Tributos!O78</f>
        <v>18444.313486362327</v>
      </c>
      <c r="V9" s="34">
        <f>Tributos!P78</f>
        <v>18444.313486362327</v>
      </c>
      <c r="W9" s="34">
        <f>Tributos!Q78</f>
        <v>18444.313486362327</v>
      </c>
      <c r="X9" s="34">
        <f>Tributos!R78</f>
        <v>18444.313486362327</v>
      </c>
      <c r="Y9" s="34">
        <f>Tributos!S78</f>
        <v>18444.313486362327</v>
      </c>
      <c r="Z9" s="34">
        <f>Tributos!T78</f>
        <v>18444.313486362327</v>
      </c>
      <c r="AA9" s="34">
        <f>Tributos!U78</f>
        <v>18444.313486362327</v>
      </c>
      <c r="AB9" s="34">
        <f>Tributos!V78</f>
        <v>18444.313486362327</v>
      </c>
      <c r="AC9" s="34">
        <f>Tributos!W78</f>
        <v>18444.313486362327</v>
      </c>
      <c r="AD9" s="34">
        <f>Tributos!X78</f>
        <v>18444.313486362327</v>
      </c>
      <c r="AE9" s="34">
        <f>Tributos!Y78</f>
        <v>18444.313486362327</v>
      </c>
      <c r="AF9" s="34">
        <f>Tributos!Z78</f>
        <v>18444.313486362327</v>
      </c>
      <c r="AG9" s="34">
        <f>Tributos!AA78</f>
        <v>18444.313486362327</v>
      </c>
      <c r="AH9" s="34">
        <f>Tributos!AB78</f>
        <v>18444.313486362327</v>
      </c>
      <c r="AI9" s="34">
        <f>Tributos!AC78</f>
        <v>18444.313486362327</v>
      </c>
      <c r="AJ9" s="34">
        <f>Tributos!AD78</f>
        <v>18444.313486362327</v>
      </c>
      <c r="AK9" s="34">
        <f>Tributos!AE78</f>
        <v>18444.313486362327</v>
      </c>
      <c r="AL9" s="34">
        <f>Tributos!AF78</f>
        <v>18444.313486362327</v>
      </c>
      <c r="AM9" s="34">
        <f>Tributos!AG78</f>
        <v>18444.313486362327</v>
      </c>
      <c r="AN9" s="34">
        <f>Tributos!AH78</f>
        <v>18444.313486362327</v>
      </c>
      <c r="AO9" s="34">
        <f>Tributos!AI78</f>
        <v>18444.313486362327</v>
      </c>
      <c r="AP9" s="34">
        <f>Tributos!AJ78</f>
        <v>18444.313486362327</v>
      </c>
      <c r="AQ9" s="34">
        <f>Tributos!AK78</f>
        <v>18444.313486362327</v>
      </c>
      <c r="AR9" s="34">
        <f>Tributos!AL78</f>
        <v>18444.313486362327</v>
      </c>
      <c r="AS9" s="34">
        <f>Tributos!AM78</f>
        <v>18444.313486362327</v>
      </c>
      <c r="AT9" s="34">
        <f>Tributos!AN78</f>
        <v>18444.313486362327</v>
      </c>
      <c r="AU9" s="34">
        <f>Tributos!AO78</f>
        <v>18444.313486362327</v>
      </c>
      <c r="AV9" s="34">
        <f>Tributos!AP78</f>
        <v>18444.313486362327</v>
      </c>
      <c r="AW9" s="34">
        <f>Tributos!AQ78</f>
        <v>18444.313486362327</v>
      </c>
      <c r="AX9" s="34">
        <f>Tributos!AR78</f>
        <v>18444.313486362327</v>
      </c>
      <c r="AY9" s="34">
        <f>Tributos!AS78</f>
        <v>18444.313486362327</v>
      </c>
      <c r="AZ9" s="34">
        <f>Tributos!AT78</f>
        <v>18444.313486362327</v>
      </c>
      <c r="BA9" s="34">
        <f>Tributos!AU78</f>
        <v>18444.313486362327</v>
      </c>
      <c r="BB9" s="34">
        <f>Tributos!AV78</f>
        <v>18444.313486362327</v>
      </c>
      <c r="BC9" s="34">
        <f>Tributos!AW78</f>
        <v>18444.313486362327</v>
      </c>
    </row>
    <row r="10" spans="2:55" s="33" customFormat="1" x14ac:dyDescent="0.35">
      <c r="B10" s="32" t="s">
        <v>33</v>
      </c>
      <c r="H10" s="34"/>
      <c r="I10" s="34">
        <f>I8-I9</f>
        <v>7055.1324000000004</v>
      </c>
      <c r="J10" s="34">
        <f t="shared" ref="J10:BC10" si="0">J8-J9</f>
        <v>7055.1324000000004</v>
      </c>
      <c r="K10" s="34">
        <f t="shared" si="0"/>
        <v>29023.250355</v>
      </c>
      <c r="L10" s="34">
        <f t="shared" si="0"/>
        <v>29023.250355</v>
      </c>
      <c r="M10" s="34">
        <f t="shared" si="0"/>
        <v>486879.34367424942</v>
      </c>
      <c r="N10" s="34">
        <f t="shared" si="0"/>
        <v>486879.34367424942</v>
      </c>
      <c r="O10" s="34">
        <f t="shared" si="0"/>
        <v>486879.34367424942</v>
      </c>
      <c r="P10" s="34">
        <f t="shared" si="0"/>
        <v>486879.34367424942</v>
      </c>
      <c r="Q10" s="34">
        <f t="shared" si="0"/>
        <v>486879.34367424942</v>
      </c>
      <c r="R10" s="34">
        <f t="shared" si="0"/>
        <v>486879.34367424942</v>
      </c>
      <c r="S10" s="34">
        <f t="shared" si="0"/>
        <v>486879.34367424942</v>
      </c>
      <c r="T10" s="34">
        <f t="shared" si="0"/>
        <v>486879.34367424942</v>
      </c>
      <c r="U10" s="34">
        <f t="shared" si="0"/>
        <v>486879.34367424942</v>
      </c>
      <c r="V10" s="34">
        <f t="shared" si="0"/>
        <v>486879.34367424942</v>
      </c>
      <c r="W10" s="34">
        <f t="shared" si="0"/>
        <v>486879.34367424942</v>
      </c>
      <c r="X10" s="34">
        <f t="shared" si="0"/>
        <v>486879.34367424942</v>
      </c>
      <c r="Y10" s="34">
        <f t="shared" si="0"/>
        <v>486879.34367424942</v>
      </c>
      <c r="Z10" s="34">
        <f t="shared" si="0"/>
        <v>486879.34367424942</v>
      </c>
      <c r="AA10" s="34">
        <f t="shared" si="0"/>
        <v>486879.34367424942</v>
      </c>
      <c r="AB10" s="34">
        <f t="shared" si="0"/>
        <v>486879.34367424942</v>
      </c>
      <c r="AC10" s="34">
        <f t="shared" si="0"/>
        <v>486879.34367424942</v>
      </c>
      <c r="AD10" s="34">
        <f t="shared" si="0"/>
        <v>486879.34367424942</v>
      </c>
      <c r="AE10" s="34">
        <f t="shared" si="0"/>
        <v>486879.34367424942</v>
      </c>
      <c r="AF10" s="34">
        <f t="shared" si="0"/>
        <v>486879.34367424942</v>
      </c>
      <c r="AG10" s="34">
        <f t="shared" si="0"/>
        <v>486879.34367424942</v>
      </c>
      <c r="AH10" s="34">
        <f t="shared" si="0"/>
        <v>486879.34367424942</v>
      </c>
      <c r="AI10" s="34">
        <f t="shared" si="0"/>
        <v>486879.34367424942</v>
      </c>
      <c r="AJ10" s="34">
        <f t="shared" si="0"/>
        <v>486879.34367424942</v>
      </c>
      <c r="AK10" s="34">
        <f t="shared" si="0"/>
        <v>486879.34367424942</v>
      </c>
      <c r="AL10" s="34">
        <f t="shared" si="0"/>
        <v>486879.34367424942</v>
      </c>
      <c r="AM10" s="34">
        <f t="shared" si="0"/>
        <v>486879.34367424942</v>
      </c>
      <c r="AN10" s="34">
        <f t="shared" si="0"/>
        <v>486879.34367424942</v>
      </c>
      <c r="AO10" s="34">
        <f t="shared" si="0"/>
        <v>486879.34367424942</v>
      </c>
      <c r="AP10" s="34">
        <f t="shared" si="0"/>
        <v>486879.34367424942</v>
      </c>
      <c r="AQ10" s="34">
        <f t="shared" si="0"/>
        <v>486879.34367424942</v>
      </c>
      <c r="AR10" s="34">
        <f t="shared" si="0"/>
        <v>486879.34367424942</v>
      </c>
      <c r="AS10" s="34">
        <f t="shared" si="0"/>
        <v>486879.34367424942</v>
      </c>
      <c r="AT10" s="34">
        <f t="shared" si="0"/>
        <v>486879.34367424942</v>
      </c>
      <c r="AU10" s="34">
        <f t="shared" si="0"/>
        <v>486879.34367424942</v>
      </c>
      <c r="AV10" s="34">
        <f t="shared" si="0"/>
        <v>486879.34367424942</v>
      </c>
      <c r="AW10" s="34">
        <f t="shared" si="0"/>
        <v>486879.34367424942</v>
      </c>
      <c r="AX10" s="34">
        <f t="shared" si="0"/>
        <v>486879.34367424942</v>
      </c>
      <c r="AY10" s="34">
        <f t="shared" si="0"/>
        <v>486879.34367424942</v>
      </c>
      <c r="AZ10" s="34">
        <f t="shared" si="0"/>
        <v>486879.34367424942</v>
      </c>
      <c r="BA10" s="34">
        <f t="shared" si="0"/>
        <v>486879.34367424942</v>
      </c>
      <c r="BB10" s="34">
        <f t="shared" si="0"/>
        <v>486879.34367424942</v>
      </c>
      <c r="BC10" s="34">
        <f t="shared" si="0"/>
        <v>486879.34367424942</v>
      </c>
    </row>
    <row r="11" spans="2:55" s="33" customFormat="1" x14ac:dyDescent="0.35">
      <c r="B11" s="32" t="s">
        <v>34</v>
      </c>
      <c r="E11" s="33">
        <f>NPV($C$2,H11:BC11)</f>
        <v>15934227.440805873</v>
      </c>
      <c r="F11" s="33">
        <f>+SUM(H11:BC11)</f>
        <v>20050063.559999999</v>
      </c>
      <c r="H11" s="34">
        <f>'Despesas e Custos'!F43</f>
        <v>318945.59499999997</v>
      </c>
      <c r="I11" s="34">
        <f>'Despesas e Custos'!G43</f>
        <v>318945.59499999997</v>
      </c>
      <c r="J11" s="34">
        <f>'Despesas e Custos'!H43</f>
        <v>318945.59499999997</v>
      </c>
      <c r="K11" s="34">
        <f>'Despesas e Custos'!I43</f>
        <v>318945.59499999997</v>
      </c>
      <c r="L11" s="34">
        <f>'Despesas e Custos'!J43</f>
        <v>318945.59499999997</v>
      </c>
      <c r="M11" s="34">
        <f>'Despesas e Custos'!K43</f>
        <v>318945.59499999997</v>
      </c>
      <c r="N11" s="34">
        <f>'Despesas e Custos'!L43</f>
        <v>318945.59499999997</v>
      </c>
      <c r="O11" s="34">
        <f>'Despesas e Custos'!M43</f>
        <v>318945.59499999997</v>
      </c>
      <c r="P11" s="34">
        <f>'Despesas e Custos'!N43</f>
        <v>437462.46999999991</v>
      </c>
      <c r="Q11" s="34">
        <f>'Despesas e Custos'!O43</f>
        <v>437462.46999999991</v>
      </c>
      <c r="R11" s="34">
        <f>'Despesas e Custos'!P43</f>
        <v>437462.46999999991</v>
      </c>
      <c r="S11" s="34">
        <f>'Despesas e Custos'!Q43</f>
        <v>437462.46999999991</v>
      </c>
      <c r="T11" s="34">
        <f>'Despesas e Custos'!R43</f>
        <v>437462.46999999991</v>
      </c>
      <c r="U11" s="34">
        <f>'Despesas e Custos'!S43</f>
        <v>437462.46999999991</v>
      </c>
      <c r="V11" s="34">
        <f>'Despesas e Custos'!T43</f>
        <v>437462.46999999991</v>
      </c>
      <c r="W11" s="34">
        <f>'Despesas e Custos'!U43</f>
        <v>437462.46999999991</v>
      </c>
      <c r="X11" s="34">
        <f>'Despesas e Custos'!V43</f>
        <v>437462.46999999991</v>
      </c>
      <c r="Y11" s="34">
        <f>'Despesas e Custos'!W43</f>
        <v>437462.46999999991</v>
      </c>
      <c r="Z11" s="34">
        <f>'Despesas e Custos'!X43</f>
        <v>437462.46999999991</v>
      </c>
      <c r="AA11" s="34">
        <f>'Despesas e Custos'!Y43</f>
        <v>437462.46999999991</v>
      </c>
      <c r="AB11" s="34">
        <f>'Despesas e Custos'!Z43</f>
        <v>437462.46999999991</v>
      </c>
      <c r="AC11" s="34">
        <f>'Despesas e Custos'!AA43</f>
        <v>437462.46999999991</v>
      </c>
      <c r="AD11" s="34">
        <f>'Despesas e Custos'!AB43</f>
        <v>437462.46999999991</v>
      </c>
      <c r="AE11" s="34">
        <f>'Despesas e Custos'!AC43</f>
        <v>437462.46999999991</v>
      </c>
      <c r="AF11" s="34">
        <f>'Despesas e Custos'!AD43</f>
        <v>437462.46999999991</v>
      </c>
      <c r="AG11" s="34">
        <f>'Despesas e Custos'!AE43</f>
        <v>437462.46999999991</v>
      </c>
      <c r="AH11" s="34">
        <f>'Despesas e Custos'!AF43</f>
        <v>437462.46999999991</v>
      </c>
      <c r="AI11" s="34">
        <f>'Despesas e Custos'!AG43</f>
        <v>437462.46999999991</v>
      </c>
      <c r="AJ11" s="34">
        <f>'Despesas e Custos'!AH43</f>
        <v>437462.46999999991</v>
      </c>
      <c r="AK11" s="34">
        <f>'Despesas e Custos'!AI43</f>
        <v>437462.46999999991</v>
      </c>
      <c r="AL11" s="34">
        <f>'Despesas e Custos'!AJ43</f>
        <v>437462.46999999991</v>
      </c>
      <c r="AM11" s="34">
        <f>'Despesas e Custos'!AK43</f>
        <v>437462.46999999991</v>
      </c>
      <c r="AN11" s="34">
        <f>'Despesas e Custos'!AL43</f>
        <v>437462.46999999991</v>
      </c>
      <c r="AO11" s="34">
        <f>'Despesas e Custos'!AM43</f>
        <v>437462.46999999991</v>
      </c>
      <c r="AP11" s="34">
        <f>'Despesas e Custos'!AN43</f>
        <v>437462.46999999991</v>
      </c>
      <c r="AQ11" s="34">
        <f>'Despesas e Custos'!AO43</f>
        <v>437462.46999999991</v>
      </c>
      <c r="AR11" s="34">
        <f>'Despesas e Custos'!AP43</f>
        <v>437462.46999999991</v>
      </c>
      <c r="AS11" s="34">
        <f>'Despesas e Custos'!AQ43</f>
        <v>437462.46999999991</v>
      </c>
      <c r="AT11" s="34">
        <f>'Despesas e Custos'!AR43</f>
        <v>437462.46999999991</v>
      </c>
      <c r="AU11" s="34">
        <f>'Despesas e Custos'!AS43</f>
        <v>437462.46999999991</v>
      </c>
      <c r="AV11" s="34">
        <f>'Despesas e Custos'!AT43</f>
        <v>437462.46999999991</v>
      </c>
      <c r="AW11" s="34">
        <f>'Despesas e Custos'!AU43</f>
        <v>437462.46999999991</v>
      </c>
      <c r="AX11" s="34">
        <f>'Despesas e Custos'!AV43</f>
        <v>437462.46999999991</v>
      </c>
      <c r="AY11" s="34">
        <f>'Despesas e Custos'!AW43</f>
        <v>437462.46999999991</v>
      </c>
      <c r="AZ11" s="34">
        <f>'Despesas e Custos'!AX43</f>
        <v>437462.46999999991</v>
      </c>
      <c r="BA11" s="34">
        <f>'Despesas e Custos'!AY43</f>
        <v>437462.46999999991</v>
      </c>
      <c r="BB11" s="34">
        <f>'Despesas e Custos'!AZ43</f>
        <v>437462.46999999991</v>
      </c>
      <c r="BC11" s="34">
        <f>'Despesas e Custos'!BA43</f>
        <v>437462.46999999991</v>
      </c>
    </row>
    <row r="12" spans="2:55" s="33" customFormat="1" x14ac:dyDescent="0.35">
      <c r="B12" s="32" t="s">
        <v>35</v>
      </c>
      <c r="E12" s="33">
        <f>NPV($C$2,H12:BC12)</f>
        <v>514112.89731719898</v>
      </c>
      <c r="F12" s="33">
        <f>+SUM(H12:BC12)</f>
        <v>957904.9835027291</v>
      </c>
      <c r="H12" s="34">
        <f>H10-H11</f>
        <v>-318945.59499999997</v>
      </c>
      <c r="I12" s="34">
        <f t="shared" ref="I12:BC12" si="1">I10-I11</f>
        <v>-311890.46259999997</v>
      </c>
      <c r="J12" s="34">
        <f t="shared" si="1"/>
        <v>-311890.46259999997</v>
      </c>
      <c r="K12" s="34">
        <f t="shared" si="1"/>
        <v>-289922.34464499995</v>
      </c>
      <c r="L12" s="34">
        <f t="shared" si="1"/>
        <v>-289922.34464499995</v>
      </c>
      <c r="M12" s="34">
        <f t="shared" si="1"/>
        <v>167933.74867424945</v>
      </c>
      <c r="N12" s="34">
        <f t="shared" si="1"/>
        <v>167933.74867424945</v>
      </c>
      <c r="O12" s="34">
        <f t="shared" si="1"/>
        <v>167933.74867424945</v>
      </c>
      <c r="P12" s="34">
        <f t="shared" si="1"/>
        <v>49416.873674249509</v>
      </c>
      <c r="Q12" s="34">
        <f t="shared" si="1"/>
        <v>49416.873674249509</v>
      </c>
      <c r="R12" s="34">
        <f t="shared" si="1"/>
        <v>49416.873674249509</v>
      </c>
      <c r="S12" s="34">
        <f t="shared" si="1"/>
        <v>49416.873674249509</v>
      </c>
      <c r="T12" s="34">
        <f t="shared" si="1"/>
        <v>49416.873674249509</v>
      </c>
      <c r="U12" s="34">
        <f t="shared" si="1"/>
        <v>49416.873674249509</v>
      </c>
      <c r="V12" s="34">
        <f t="shared" si="1"/>
        <v>49416.873674249509</v>
      </c>
      <c r="W12" s="34">
        <f t="shared" si="1"/>
        <v>49416.873674249509</v>
      </c>
      <c r="X12" s="34">
        <f t="shared" si="1"/>
        <v>49416.873674249509</v>
      </c>
      <c r="Y12" s="34">
        <f t="shared" si="1"/>
        <v>49416.873674249509</v>
      </c>
      <c r="Z12" s="34">
        <f t="shared" si="1"/>
        <v>49416.873674249509</v>
      </c>
      <c r="AA12" s="34">
        <f t="shared" si="1"/>
        <v>49416.873674249509</v>
      </c>
      <c r="AB12" s="34">
        <f t="shared" si="1"/>
        <v>49416.873674249509</v>
      </c>
      <c r="AC12" s="34">
        <f t="shared" si="1"/>
        <v>49416.873674249509</v>
      </c>
      <c r="AD12" s="34">
        <f t="shared" si="1"/>
        <v>49416.873674249509</v>
      </c>
      <c r="AE12" s="34">
        <f t="shared" si="1"/>
        <v>49416.873674249509</v>
      </c>
      <c r="AF12" s="34">
        <f t="shared" si="1"/>
        <v>49416.873674249509</v>
      </c>
      <c r="AG12" s="34">
        <f t="shared" si="1"/>
        <v>49416.873674249509</v>
      </c>
      <c r="AH12" s="34">
        <f t="shared" si="1"/>
        <v>49416.873674249509</v>
      </c>
      <c r="AI12" s="34">
        <f t="shared" si="1"/>
        <v>49416.873674249509</v>
      </c>
      <c r="AJ12" s="34">
        <f t="shared" si="1"/>
        <v>49416.873674249509</v>
      </c>
      <c r="AK12" s="34">
        <f t="shared" si="1"/>
        <v>49416.873674249509</v>
      </c>
      <c r="AL12" s="34">
        <f t="shared" si="1"/>
        <v>49416.873674249509</v>
      </c>
      <c r="AM12" s="34">
        <f t="shared" si="1"/>
        <v>49416.873674249509</v>
      </c>
      <c r="AN12" s="34">
        <f t="shared" si="1"/>
        <v>49416.873674249509</v>
      </c>
      <c r="AO12" s="34">
        <f t="shared" si="1"/>
        <v>49416.873674249509</v>
      </c>
      <c r="AP12" s="34">
        <f t="shared" si="1"/>
        <v>49416.873674249509</v>
      </c>
      <c r="AQ12" s="34">
        <f t="shared" si="1"/>
        <v>49416.873674249509</v>
      </c>
      <c r="AR12" s="34">
        <f t="shared" si="1"/>
        <v>49416.873674249509</v>
      </c>
      <c r="AS12" s="34">
        <f t="shared" si="1"/>
        <v>49416.873674249509</v>
      </c>
      <c r="AT12" s="34">
        <f t="shared" si="1"/>
        <v>49416.873674249509</v>
      </c>
      <c r="AU12" s="34">
        <f t="shared" si="1"/>
        <v>49416.873674249509</v>
      </c>
      <c r="AV12" s="34">
        <f t="shared" si="1"/>
        <v>49416.873674249509</v>
      </c>
      <c r="AW12" s="34">
        <f t="shared" si="1"/>
        <v>49416.873674249509</v>
      </c>
      <c r="AX12" s="34">
        <f t="shared" si="1"/>
        <v>49416.873674249509</v>
      </c>
      <c r="AY12" s="34">
        <f t="shared" si="1"/>
        <v>49416.873674249509</v>
      </c>
      <c r="AZ12" s="34">
        <f t="shared" si="1"/>
        <v>49416.873674249509</v>
      </c>
      <c r="BA12" s="34">
        <f t="shared" si="1"/>
        <v>49416.873674249509</v>
      </c>
      <c r="BB12" s="34">
        <f t="shared" si="1"/>
        <v>49416.873674249509</v>
      </c>
      <c r="BC12" s="34">
        <f t="shared" si="1"/>
        <v>49416.873674249509</v>
      </c>
    </row>
    <row r="13" spans="2:55" s="33" customFormat="1" x14ac:dyDescent="0.35">
      <c r="B13" s="32" t="s">
        <v>36</v>
      </c>
      <c r="E13" s="33">
        <f>NPV($C$2,H13:BC13)</f>
        <v>514112.89731719898</v>
      </c>
      <c r="F13" s="33">
        <f>+SUM(H13:BC13)</f>
        <v>957904.9835027291</v>
      </c>
      <c r="H13" s="34">
        <f>H12</f>
        <v>-318945.59499999997</v>
      </c>
      <c r="I13" s="34">
        <f t="shared" ref="I13:BC13" si="2">I12</f>
        <v>-311890.46259999997</v>
      </c>
      <c r="J13" s="34">
        <f t="shared" si="2"/>
        <v>-311890.46259999997</v>
      </c>
      <c r="K13" s="34">
        <f t="shared" si="2"/>
        <v>-289922.34464499995</v>
      </c>
      <c r="L13" s="34">
        <f t="shared" si="2"/>
        <v>-289922.34464499995</v>
      </c>
      <c r="M13" s="34">
        <f t="shared" si="2"/>
        <v>167933.74867424945</v>
      </c>
      <c r="N13" s="34">
        <f t="shared" si="2"/>
        <v>167933.74867424945</v>
      </c>
      <c r="O13" s="34">
        <f t="shared" si="2"/>
        <v>167933.74867424945</v>
      </c>
      <c r="P13" s="34">
        <f t="shared" si="2"/>
        <v>49416.873674249509</v>
      </c>
      <c r="Q13" s="34">
        <f t="shared" si="2"/>
        <v>49416.873674249509</v>
      </c>
      <c r="R13" s="34">
        <f t="shared" si="2"/>
        <v>49416.873674249509</v>
      </c>
      <c r="S13" s="34">
        <f t="shared" si="2"/>
        <v>49416.873674249509</v>
      </c>
      <c r="T13" s="34">
        <f t="shared" si="2"/>
        <v>49416.873674249509</v>
      </c>
      <c r="U13" s="34">
        <f t="shared" si="2"/>
        <v>49416.873674249509</v>
      </c>
      <c r="V13" s="34">
        <f t="shared" si="2"/>
        <v>49416.873674249509</v>
      </c>
      <c r="W13" s="34">
        <f t="shared" si="2"/>
        <v>49416.873674249509</v>
      </c>
      <c r="X13" s="34">
        <f t="shared" si="2"/>
        <v>49416.873674249509</v>
      </c>
      <c r="Y13" s="34">
        <f t="shared" si="2"/>
        <v>49416.873674249509</v>
      </c>
      <c r="Z13" s="34">
        <f t="shared" si="2"/>
        <v>49416.873674249509</v>
      </c>
      <c r="AA13" s="34">
        <f t="shared" si="2"/>
        <v>49416.873674249509</v>
      </c>
      <c r="AB13" s="34">
        <f t="shared" si="2"/>
        <v>49416.873674249509</v>
      </c>
      <c r="AC13" s="34">
        <f t="shared" si="2"/>
        <v>49416.873674249509</v>
      </c>
      <c r="AD13" s="34">
        <f t="shared" si="2"/>
        <v>49416.873674249509</v>
      </c>
      <c r="AE13" s="34">
        <f t="shared" si="2"/>
        <v>49416.873674249509</v>
      </c>
      <c r="AF13" s="34">
        <f t="shared" si="2"/>
        <v>49416.873674249509</v>
      </c>
      <c r="AG13" s="34">
        <f t="shared" si="2"/>
        <v>49416.873674249509</v>
      </c>
      <c r="AH13" s="34">
        <f t="shared" si="2"/>
        <v>49416.873674249509</v>
      </c>
      <c r="AI13" s="34">
        <f t="shared" si="2"/>
        <v>49416.873674249509</v>
      </c>
      <c r="AJ13" s="34">
        <f t="shared" si="2"/>
        <v>49416.873674249509</v>
      </c>
      <c r="AK13" s="34">
        <f t="shared" si="2"/>
        <v>49416.873674249509</v>
      </c>
      <c r="AL13" s="34">
        <f t="shared" si="2"/>
        <v>49416.873674249509</v>
      </c>
      <c r="AM13" s="34">
        <f t="shared" si="2"/>
        <v>49416.873674249509</v>
      </c>
      <c r="AN13" s="34">
        <f t="shared" si="2"/>
        <v>49416.873674249509</v>
      </c>
      <c r="AO13" s="34">
        <f t="shared" si="2"/>
        <v>49416.873674249509</v>
      </c>
      <c r="AP13" s="34">
        <f t="shared" si="2"/>
        <v>49416.873674249509</v>
      </c>
      <c r="AQ13" s="34">
        <f t="shared" si="2"/>
        <v>49416.873674249509</v>
      </c>
      <c r="AR13" s="34">
        <f t="shared" si="2"/>
        <v>49416.873674249509</v>
      </c>
      <c r="AS13" s="34">
        <f t="shared" si="2"/>
        <v>49416.873674249509</v>
      </c>
      <c r="AT13" s="34">
        <f t="shared" si="2"/>
        <v>49416.873674249509</v>
      </c>
      <c r="AU13" s="34">
        <f t="shared" si="2"/>
        <v>49416.873674249509</v>
      </c>
      <c r="AV13" s="34">
        <f t="shared" si="2"/>
        <v>49416.873674249509</v>
      </c>
      <c r="AW13" s="34">
        <f t="shared" si="2"/>
        <v>49416.873674249509</v>
      </c>
      <c r="AX13" s="34">
        <f t="shared" si="2"/>
        <v>49416.873674249509</v>
      </c>
      <c r="AY13" s="34">
        <f t="shared" si="2"/>
        <v>49416.873674249509</v>
      </c>
      <c r="AZ13" s="34">
        <f t="shared" si="2"/>
        <v>49416.873674249509</v>
      </c>
      <c r="BA13" s="34">
        <f t="shared" si="2"/>
        <v>49416.873674249509</v>
      </c>
      <c r="BB13" s="34">
        <f t="shared" si="2"/>
        <v>49416.873674249509</v>
      </c>
      <c r="BC13" s="34">
        <f t="shared" si="2"/>
        <v>49416.873674249509</v>
      </c>
    </row>
    <row r="14" spans="2:55" s="33" customFormat="1" x14ac:dyDescent="0.35">
      <c r="B14" s="32" t="s">
        <v>37</v>
      </c>
      <c r="E14" s="33">
        <f>NPV($C$2,H14:BC14)</f>
        <v>299038.09366183571</v>
      </c>
      <c r="F14" s="33">
        <f>+SUM(H14:BC14)</f>
        <v>372903.33366803278</v>
      </c>
      <c r="H14" s="34">
        <f>-Tributos!B68</f>
        <v>0</v>
      </c>
      <c r="I14" s="34">
        <f>-Tributos!C68</f>
        <v>0</v>
      </c>
      <c r="J14" s="34">
        <f>-Tributos!D68</f>
        <v>0</v>
      </c>
      <c r="K14" s="34">
        <f>-Tributos!E68</f>
        <v>0</v>
      </c>
      <c r="L14" s="34">
        <f>-Tributos!F68</f>
        <v>0</v>
      </c>
      <c r="M14" s="34">
        <f>-Tributos!G68</f>
        <v>23335.188573675179</v>
      </c>
      <c r="N14" s="34">
        <f>-Tributos!H68</f>
        <v>23335.188573675179</v>
      </c>
      <c r="O14" s="34">
        <f>-Tributos!I68</f>
        <v>23335.188573675179</v>
      </c>
      <c r="P14" s="34">
        <f>-Tributos!J68</f>
        <v>7572.4441986751845</v>
      </c>
      <c r="Q14" s="34">
        <f>-Tributos!K68</f>
        <v>7572.4441986751845</v>
      </c>
      <c r="R14" s="34">
        <f>-Tributos!L68</f>
        <v>7572.4441986751845</v>
      </c>
      <c r="S14" s="34">
        <f>-Tributos!M68</f>
        <v>7572.4441986751845</v>
      </c>
      <c r="T14" s="34">
        <f>-Tributos!N68</f>
        <v>7572.4441986751845</v>
      </c>
      <c r="U14" s="34">
        <f>-Tributos!O68</f>
        <v>7572.4441986751845</v>
      </c>
      <c r="V14" s="34">
        <f>-Tributos!P68</f>
        <v>7572.4441986751845</v>
      </c>
      <c r="W14" s="34">
        <f>-Tributos!Q68</f>
        <v>7572.4441986751845</v>
      </c>
      <c r="X14" s="34">
        <f>-Tributos!R68</f>
        <v>7572.4441986751845</v>
      </c>
      <c r="Y14" s="34">
        <f>-Tributos!S68</f>
        <v>7572.4441986751845</v>
      </c>
      <c r="Z14" s="34">
        <f>-Tributos!T68</f>
        <v>7572.4441986751845</v>
      </c>
      <c r="AA14" s="34">
        <f>-Tributos!U68</f>
        <v>7572.4441986751845</v>
      </c>
      <c r="AB14" s="34">
        <f>-Tributos!V68</f>
        <v>7572.4441986751845</v>
      </c>
      <c r="AC14" s="34">
        <f>-Tributos!W68</f>
        <v>7572.4441986751845</v>
      </c>
      <c r="AD14" s="34">
        <f>-Tributos!X68</f>
        <v>7572.4441986751845</v>
      </c>
      <c r="AE14" s="34">
        <f>-Tributos!Y68</f>
        <v>7572.4441986751845</v>
      </c>
      <c r="AF14" s="34">
        <f>-Tributos!Z68</f>
        <v>7572.4441986751845</v>
      </c>
      <c r="AG14" s="34">
        <f>-Tributos!AA68</f>
        <v>7572.4441986751845</v>
      </c>
      <c r="AH14" s="34">
        <f>-Tributos!AB68</f>
        <v>7572.4441986751845</v>
      </c>
      <c r="AI14" s="34">
        <f>-Tributos!AC68</f>
        <v>7572.4441986751845</v>
      </c>
      <c r="AJ14" s="34">
        <f>-Tributos!AD68</f>
        <v>7572.4441986751845</v>
      </c>
      <c r="AK14" s="34">
        <f>-Tributos!AE68</f>
        <v>7572.4441986751845</v>
      </c>
      <c r="AL14" s="34">
        <f>-Tributos!AF68</f>
        <v>7572.4441986751845</v>
      </c>
      <c r="AM14" s="34">
        <f>-Tributos!AG68</f>
        <v>7572.4441986751845</v>
      </c>
      <c r="AN14" s="34">
        <f>-Tributos!AH68</f>
        <v>7572.4441986751845</v>
      </c>
      <c r="AO14" s="34">
        <f>-Tributos!AI68</f>
        <v>7572.4441986751845</v>
      </c>
      <c r="AP14" s="34">
        <f>-Tributos!AJ68</f>
        <v>7572.4441986751845</v>
      </c>
      <c r="AQ14" s="34">
        <f>-Tributos!AK68</f>
        <v>7572.4441986751845</v>
      </c>
      <c r="AR14" s="34">
        <f>-Tributos!AL68</f>
        <v>7572.4441986751845</v>
      </c>
      <c r="AS14" s="34">
        <f>-Tributos!AM68</f>
        <v>7572.4441986751845</v>
      </c>
      <c r="AT14" s="34">
        <f>-Tributos!AN68</f>
        <v>7572.4441986751845</v>
      </c>
      <c r="AU14" s="34">
        <f>-Tributos!AO68</f>
        <v>7572.4441986751845</v>
      </c>
      <c r="AV14" s="34">
        <f>-Tributos!AP68</f>
        <v>7572.4441986751845</v>
      </c>
      <c r="AW14" s="34">
        <f>-Tributos!AQ68</f>
        <v>7572.4441986751845</v>
      </c>
      <c r="AX14" s="34">
        <f>-Tributos!AR68</f>
        <v>7572.4441986751845</v>
      </c>
      <c r="AY14" s="34">
        <f>-Tributos!AS68</f>
        <v>7572.4441986751845</v>
      </c>
      <c r="AZ14" s="34">
        <f>-Tributos!AT68</f>
        <v>7572.4441986751845</v>
      </c>
      <c r="BA14" s="34">
        <f>-Tributos!AU68</f>
        <v>7572.4441986751845</v>
      </c>
      <c r="BB14" s="34">
        <f>-Tributos!AV68</f>
        <v>7572.4441986751845</v>
      </c>
      <c r="BC14" s="34">
        <f>-Tributos!AW68</f>
        <v>7572.4441986751845</v>
      </c>
    </row>
    <row r="15" spans="2:55" s="33" customFormat="1" x14ac:dyDescent="0.35">
      <c r="B15" s="32" t="s">
        <v>38</v>
      </c>
      <c r="E15" s="33">
        <f>NPV($C$2,H15:BC15)</f>
        <v>215074.80365536371</v>
      </c>
      <c r="F15" s="33">
        <f>+SUM(H15:BC15)</f>
        <v>585001.64983469574</v>
      </c>
      <c r="H15" s="35">
        <f>H13-H14</f>
        <v>-318945.59499999997</v>
      </c>
      <c r="I15" s="35">
        <f t="shared" ref="I15:BC15" si="3">I13-I14</f>
        <v>-311890.46259999997</v>
      </c>
      <c r="J15" s="35">
        <f t="shared" si="3"/>
        <v>-311890.46259999997</v>
      </c>
      <c r="K15" s="35">
        <f t="shared" si="3"/>
        <v>-289922.34464499995</v>
      </c>
      <c r="L15" s="35">
        <f t="shared" si="3"/>
        <v>-289922.34464499995</v>
      </c>
      <c r="M15" s="35">
        <f t="shared" si="3"/>
        <v>144598.56010057428</v>
      </c>
      <c r="N15" s="35">
        <f t="shared" si="3"/>
        <v>144598.56010057428</v>
      </c>
      <c r="O15" s="35">
        <f t="shared" si="3"/>
        <v>144598.56010057428</v>
      </c>
      <c r="P15" s="35">
        <f t="shared" si="3"/>
        <v>41844.429475574325</v>
      </c>
      <c r="Q15" s="35">
        <f t="shared" si="3"/>
        <v>41844.429475574325</v>
      </c>
      <c r="R15" s="35">
        <f t="shared" si="3"/>
        <v>41844.429475574325</v>
      </c>
      <c r="S15" s="35">
        <f t="shared" si="3"/>
        <v>41844.429475574325</v>
      </c>
      <c r="T15" s="35">
        <f t="shared" si="3"/>
        <v>41844.429475574325</v>
      </c>
      <c r="U15" s="35">
        <f t="shared" si="3"/>
        <v>41844.429475574325</v>
      </c>
      <c r="V15" s="35">
        <f t="shared" si="3"/>
        <v>41844.429475574325</v>
      </c>
      <c r="W15" s="35">
        <f t="shared" si="3"/>
        <v>41844.429475574325</v>
      </c>
      <c r="X15" s="35">
        <f t="shared" si="3"/>
        <v>41844.429475574325</v>
      </c>
      <c r="Y15" s="35">
        <f t="shared" si="3"/>
        <v>41844.429475574325</v>
      </c>
      <c r="Z15" s="35">
        <f t="shared" si="3"/>
        <v>41844.429475574325</v>
      </c>
      <c r="AA15" s="35">
        <f t="shared" si="3"/>
        <v>41844.429475574325</v>
      </c>
      <c r="AB15" s="35">
        <f t="shared" si="3"/>
        <v>41844.429475574325</v>
      </c>
      <c r="AC15" s="35">
        <f t="shared" si="3"/>
        <v>41844.429475574325</v>
      </c>
      <c r="AD15" s="35">
        <f t="shared" si="3"/>
        <v>41844.429475574325</v>
      </c>
      <c r="AE15" s="35">
        <f t="shared" si="3"/>
        <v>41844.429475574325</v>
      </c>
      <c r="AF15" s="35">
        <f t="shared" si="3"/>
        <v>41844.429475574325</v>
      </c>
      <c r="AG15" s="35">
        <f t="shared" si="3"/>
        <v>41844.429475574325</v>
      </c>
      <c r="AH15" s="35">
        <f t="shared" si="3"/>
        <v>41844.429475574325</v>
      </c>
      <c r="AI15" s="35">
        <f t="shared" si="3"/>
        <v>41844.429475574325</v>
      </c>
      <c r="AJ15" s="35">
        <f t="shared" si="3"/>
        <v>41844.429475574325</v>
      </c>
      <c r="AK15" s="35">
        <f t="shared" si="3"/>
        <v>41844.429475574325</v>
      </c>
      <c r="AL15" s="35">
        <f t="shared" si="3"/>
        <v>41844.429475574325</v>
      </c>
      <c r="AM15" s="35">
        <f t="shared" si="3"/>
        <v>41844.429475574325</v>
      </c>
      <c r="AN15" s="35">
        <f t="shared" si="3"/>
        <v>41844.429475574325</v>
      </c>
      <c r="AO15" s="35">
        <f t="shared" si="3"/>
        <v>41844.429475574325</v>
      </c>
      <c r="AP15" s="35">
        <f t="shared" si="3"/>
        <v>41844.429475574325</v>
      </c>
      <c r="AQ15" s="35">
        <f t="shared" si="3"/>
        <v>41844.429475574325</v>
      </c>
      <c r="AR15" s="35">
        <f t="shared" si="3"/>
        <v>41844.429475574325</v>
      </c>
      <c r="AS15" s="35">
        <f t="shared" si="3"/>
        <v>41844.429475574325</v>
      </c>
      <c r="AT15" s="35">
        <f t="shared" si="3"/>
        <v>41844.429475574325</v>
      </c>
      <c r="AU15" s="35">
        <f t="shared" si="3"/>
        <v>41844.429475574325</v>
      </c>
      <c r="AV15" s="35">
        <f t="shared" si="3"/>
        <v>41844.429475574325</v>
      </c>
      <c r="AW15" s="35">
        <f t="shared" si="3"/>
        <v>41844.429475574325</v>
      </c>
      <c r="AX15" s="35">
        <f t="shared" si="3"/>
        <v>41844.429475574325</v>
      </c>
      <c r="AY15" s="35">
        <f t="shared" si="3"/>
        <v>41844.429475574325</v>
      </c>
      <c r="AZ15" s="35">
        <f t="shared" si="3"/>
        <v>41844.429475574325</v>
      </c>
      <c r="BA15" s="35">
        <f t="shared" si="3"/>
        <v>41844.429475574325</v>
      </c>
      <c r="BB15" s="35">
        <f t="shared" si="3"/>
        <v>41844.429475574325</v>
      </c>
      <c r="BC15" s="35">
        <f t="shared" si="3"/>
        <v>41844.429475574325</v>
      </c>
    </row>
    <row r="16" spans="2:55" x14ac:dyDescent="0.35"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</row>
    <row r="18" spans="2:55" ht="21" x14ac:dyDescent="0.5">
      <c r="B18" s="31" t="s">
        <v>39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</row>
    <row r="19" spans="2:55" x14ac:dyDescent="0.35">
      <c r="B19" s="13" t="s">
        <v>28</v>
      </c>
      <c r="H19" s="13">
        <v>1</v>
      </c>
      <c r="I19" s="13">
        <v>2</v>
      </c>
      <c r="J19" s="13">
        <v>3</v>
      </c>
      <c r="K19" s="13">
        <v>4</v>
      </c>
      <c r="L19" s="13">
        <v>5</v>
      </c>
      <c r="M19" s="13">
        <v>6</v>
      </c>
      <c r="N19" s="13">
        <v>7</v>
      </c>
      <c r="O19" s="13">
        <v>8</v>
      </c>
      <c r="P19" s="13">
        <v>9</v>
      </c>
      <c r="Q19" s="13">
        <v>10</v>
      </c>
      <c r="R19" s="13">
        <v>11</v>
      </c>
      <c r="S19" s="13">
        <v>12</v>
      </c>
      <c r="T19" s="13">
        <v>13</v>
      </c>
      <c r="U19" s="13">
        <v>14</v>
      </c>
      <c r="V19" s="13">
        <v>15</v>
      </c>
      <c r="W19" s="13">
        <v>16</v>
      </c>
      <c r="X19" s="13">
        <v>17</v>
      </c>
      <c r="Y19" s="13">
        <v>18</v>
      </c>
      <c r="Z19" s="13">
        <v>19</v>
      </c>
      <c r="AA19" s="13">
        <v>20</v>
      </c>
      <c r="AB19" s="13">
        <v>21</v>
      </c>
      <c r="AC19" s="13">
        <v>22</v>
      </c>
      <c r="AD19" s="13">
        <v>23</v>
      </c>
      <c r="AE19" s="13">
        <v>24</v>
      </c>
      <c r="AF19" s="13">
        <v>25</v>
      </c>
      <c r="AG19" s="13">
        <v>26</v>
      </c>
      <c r="AH19" s="13">
        <v>27</v>
      </c>
      <c r="AI19" s="13">
        <v>28</v>
      </c>
      <c r="AJ19" s="13">
        <v>29</v>
      </c>
      <c r="AK19" s="13">
        <v>30</v>
      </c>
      <c r="AL19" s="13">
        <v>31</v>
      </c>
      <c r="AM19" s="13">
        <v>32</v>
      </c>
      <c r="AN19" s="13">
        <v>33</v>
      </c>
      <c r="AO19" s="13">
        <v>34</v>
      </c>
      <c r="AP19" s="13">
        <v>35</v>
      </c>
      <c r="AQ19" s="13">
        <v>36</v>
      </c>
      <c r="AR19" s="13">
        <v>37</v>
      </c>
      <c r="AS19" s="13">
        <v>38</v>
      </c>
      <c r="AT19" s="13">
        <v>39</v>
      </c>
      <c r="AU19" s="13">
        <v>40</v>
      </c>
      <c r="AV19" s="13">
        <v>41</v>
      </c>
      <c r="AW19" s="13">
        <v>42</v>
      </c>
      <c r="AX19" s="13">
        <v>43</v>
      </c>
      <c r="AY19" s="13">
        <v>44</v>
      </c>
      <c r="AZ19" s="13">
        <v>45</v>
      </c>
      <c r="BA19" s="13">
        <v>46</v>
      </c>
      <c r="BB19" s="13">
        <v>47</v>
      </c>
      <c r="BC19" s="13">
        <v>48</v>
      </c>
    </row>
    <row r="21" spans="2:55" x14ac:dyDescent="0.35">
      <c r="B21" s="17" t="s">
        <v>40</v>
      </c>
      <c r="E21" s="33">
        <f t="shared" ref="E21:E25" si="4">NPV($C$2,H21:BC21)</f>
        <v>215074.80365536371</v>
      </c>
      <c r="F21" s="33">
        <f t="shared" ref="F21:F29" si="5">+SUM(H21:BC21)</f>
        <v>585001.64983469574</v>
      </c>
      <c r="G21" s="33"/>
      <c r="H21" s="34">
        <f>H15</f>
        <v>-318945.59499999997</v>
      </c>
      <c r="I21" s="34">
        <f t="shared" ref="I21:BC21" si="6">I15</f>
        <v>-311890.46259999997</v>
      </c>
      <c r="J21" s="34">
        <f t="shared" si="6"/>
        <v>-311890.46259999997</v>
      </c>
      <c r="K21" s="34">
        <f t="shared" si="6"/>
        <v>-289922.34464499995</v>
      </c>
      <c r="L21" s="34">
        <f t="shared" si="6"/>
        <v>-289922.34464499995</v>
      </c>
      <c r="M21" s="34">
        <f t="shared" si="6"/>
        <v>144598.56010057428</v>
      </c>
      <c r="N21" s="34">
        <f t="shared" si="6"/>
        <v>144598.56010057428</v>
      </c>
      <c r="O21" s="34">
        <f t="shared" si="6"/>
        <v>144598.56010057428</v>
      </c>
      <c r="P21" s="34">
        <f t="shared" si="6"/>
        <v>41844.429475574325</v>
      </c>
      <c r="Q21" s="34">
        <f t="shared" si="6"/>
        <v>41844.429475574325</v>
      </c>
      <c r="R21" s="34">
        <f t="shared" si="6"/>
        <v>41844.429475574325</v>
      </c>
      <c r="S21" s="34">
        <f t="shared" si="6"/>
        <v>41844.429475574325</v>
      </c>
      <c r="T21" s="34">
        <f t="shared" si="6"/>
        <v>41844.429475574325</v>
      </c>
      <c r="U21" s="34">
        <f t="shared" si="6"/>
        <v>41844.429475574325</v>
      </c>
      <c r="V21" s="34">
        <f t="shared" si="6"/>
        <v>41844.429475574325</v>
      </c>
      <c r="W21" s="34">
        <f t="shared" si="6"/>
        <v>41844.429475574325</v>
      </c>
      <c r="X21" s="34">
        <f t="shared" si="6"/>
        <v>41844.429475574325</v>
      </c>
      <c r="Y21" s="34">
        <f t="shared" si="6"/>
        <v>41844.429475574325</v>
      </c>
      <c r="Z21" s="34">
        <f t="shared" si="6"/>
        <v>41844.429475574325</v>
      </c>
      <c r="AA21" s="34">
        <f t="shared" si="6"/>
        <v>41844.429475574325</v>
      </c>
      <c r="AB21" s="34">
        <f t="shared" si="6"/>
        <v>41844.429475574325</v>
      </c>
      <c r="AC21" s="34">
        <f t="shared" si="6"/>
        <v>41844.429475574325</v>
      </c>
      <c r="AD21" s="34">
        <f t="shared" si="6"/>
        <v>41844.429475574325</v>
      </c>
      <c r="AE21" s="34">
        <f t="shared" si="6"/>
        <v>41844.429475574325</v>
      </c>
      <c r="AF21" s="34">
        <f t="shared" si="6"/>
        <v>41844.429475574325</v>
      </c>
      <c r="AG21" s="34">
        <f t="shared" si="6"/>
        <v>41844.429475574325</v>
      </c>
      <c r="AH21" s="34">
        <f t="shared" si="6"/>
        <v>41844.429475574325</v>
      </c>
      <c r="AI21" s="34">
        <f t="shared" si="6"/>
        <v>41844.429475574325</v>
      </c>
      <c r="AJ21" s="34">
        <f t="shared" si="6"/>
        <v>41844.429475574325</v>
      </c>
      <c r="AK21" s="34">
        <f t="shared" si="6"/>
        <v>41844.429475574325</v>
      </c>
      <c r="AL21" s="34">
        <f t="shared" si="6"/>
        <v>41844.429475574325</v>
      </c>
      <c r="AM21" s="34">
        <f t="shared" si="6"/>
        <v>41844.429475574325</v>
      </c>
      <c r="AN21" s="34">
        <f t="shared" si="6"/>
        <v>41844.429475574325</v>
      </c>
      <c r="AO21" s="34">
        <f t="shared" si="6"/>
        <v>41844.429475574325</v>
      </c>
      <c r="AP21" s="34">
        <f t="shared" si="6"/>
        <v>41844.429475574325</v>
      </c>
      <c r="AQ21" s="34">
        <f t="shared" si="6"/>
        <v>41844.429475574325</v>
      </c>
      <c r="AR21" s="34">
        <f t="shared" si="6"/>
        <v>41844.429475574325</v>
      </c>
      <c r="AS21" s="34">
        <f t="shared" si="6"/>
        <v>41844.429475574325</v>
      </c>
      <c r="AT21" s="34">
        <f t="shared" si="6"/>
        <v>41844.429475574325</v>
      </c>
      <c r="AU21" s="34">
        <f t="shared" si="6"/>
        <v>41844.429475574325</v>
      </c>
      <c r="AV21" s="34">
        <f t="shared" si="6"/>
        <v>41844.429475574325</v>
      </c>
      <c r="AW21" s="34">
        <f t="shared" si="6"/>
        <v>41844.429475574325</v>
      </c>
      <c r="AX21" s="34">
        <f t="shared" si="6"/>
        <v>41844.429475574325</v>
      </c>
      <c r="AY21" s="34">
        <f t="shared" si="6"/>
        <v>41844.429475574325</v>
      </c>
      <c r="AZ21" s="34">
        <f t="shared" si="6"/>
        <v>41844.429475574325</v>
      </c>
      <c r="BA21" s="34">
        <f t="shared" si="6"/>
        <v>41844.429475574325</v>
      </c>
      <c r="BB21" s="34">
        <f t="shared" si="6"/>
        <v>41844.429475574325</v>
      </c>
      <c r="BC21" s="34">
        <f t="shared" si="6"/>
        <v>41844.429475574325</v>
      </c>
    </row>
    <row r="22" spans="2:55" x14ac:dyDescent="0.35">
      <c r="B22" s="17" t="s">
        <v>41</v>
      </c>
      <c r="E22" s="33">
        <f t="shared" si="4"/>
        <v>142188.80507597624</v>
      </c>
      <c r="F22" s="33">
        <f t="shared" si="5"/>
        <v>151562.40000000002</v>
      </c>
      <c r="G22" s="33"/>
      <c r="H22" s="34">
        <f>Investimentos!D21</f>
        <v>0</v>
      </c>
      <c r="I22" s="34">
        <f>Investimentos!E21</f>
        <v>0</v>
      </c>
      <c r="J22" s="34">
        <f>Investimentos!F21</f>
        <v>4854</v>
      </c>
      <c r="K22" s="34">
        <f>Investimentos!G21</f>
        <v>4854</v>
      </c>
      <c r="L22" s="34">
        <f>Investimentos!H21</f>
        <v>4854</v>
      </c>
      <c r="M22" s="34">
        <f>Investimentos!I21</f>
        <v>58365.600000000006</v>
      </c>
      <c r="N22" s="34">
        <f>Investimentos!J21</f>
        <v>26211.600000000002</v>
      </c>
      <c r="O22" s="34">
        <f>Investimentos!K21</f>
        <v>26211.600000000002</v>
      </c>
      <c r="P22" s="34">
        <f>Investimentos!L21</f>
        <v>26211.600000000002</v>
      </c>
      <c r="Q22" s="34">
        <f>Investimentos!M21</f>
        <v>0</v>
      </c>
      <c r="R22" s="34">
        <f>Investimentos!N21</f>
        <v>0</v>
      </c>
      <c r="S22" s="34">
        <f>Investimentos!O21</f>
        <v>0</v>
      </c>
      <c r="T22" s="34">
        <f>Investimentos!P21</f>
        <v>0</v>
      </c>
      <c r="U22" s="34">
        <f>Investimentos!Q21</f>
        <v>0</v>
      </c>
      <c r="V22" s="34">
        <f>Investimentos!R21</f>
        <v>0</v>
      </c>
      <c r="W22" s="34">
        <f>Investimentos!S21</f>
        <v>0</v>
      </c>
      <c r="X22" s="34">
        <f>Investimentos!T21</f>
        <v>0</v>
      </c>
      <c r="Y22" s="34">
        <f>Investimentos!U21</f>
        <v>0</v>
      </c>
      <c r="Z22" s="34">
        <f>Investimentos!V21</f>
        <v>0</v>
      </c>
      <c r="AA22" s="34">
        <f>Investimentos!W21</f>
        <v>0</v>
      </c>
      <c r="AB22" s="34">
        <f>Investimentos!X21</f>
        <v>0</v>
      </c>
      <c r="AC22" s="34">
        <f>Investimentos!Y21</f>
        <v>0</v>
      </c>
      <c r="AD22" s="34">
        <f>Investimentos!Z21</f>
        <v>0</v>
      </c>
      <c r="AE22" s="34">
        <f>Investimentos!AA21</f>
        <v>0</v>
      </c>
      <c r="AF22" s="34">
        <f>Investimentos!AB21</f>
        <v>0</v>
      </c>
      <c r="AG22" s="34">
        <f>Investimentos!AC21</f>
        <v>0</v>
      </c>
      <c r="AH22" s="34">
        <f>Investimentos!AD21</f>
        <v>0</v>
      </c>
      <c r="AI22" s="34">
        <f>Investimentos!AE21</f>
        <v>0</v>
      </c>
      <c r="AJ22" s="34">
        <f>Investimentos!AF21</f>
        <v>0</v>
      </c>
      <c r="AK22" s="34">
        <f>Investimentos!AG21</f>
        <v>0</v>
      </c>
      <c r="AL22" s="34">
        <f>Investimentos!AH21</f>
        <v>0</v>
      </c>
      <c r="AM22" s="34">
        <f>Investimentos!AI21</f>
        <v>0</v>
      </c>
      <c r="AN22" s="34">
        <f>Investimentos!AJ21</f>
        <v>0</v>
      </c>
      <c r="AO22" s="34">
        <f>Investimentos!AK21</f>
        <v>0</v>
      </c>
      <c r="AP22" s="34">
        <f>Investimentos!AL21</f>
        <v>0</v>
      </c>
      <c r="AQ22" s="34">
        <f>Investimentos!AM21</f>
        <v>0</v>
      </c>
      <c r="AR22" s="34">
        <f>Investimentos!AN21</f>
        <v>0</v>
      </c>
      <c r="AS22" s="34">
        <f>Investimentos!AO21</f>
        <v>0</v>
      </c>
      <c r="AT22" s="34">
        <f>Investimentos!AP21</f>
        <v>0</v>
      </c>
      <c r="AU22" s="34">
        <f>Investimentos!AQ21</f>
        <v>0</v>
      </c>
      <c r="AV22" s="34">
        <f>Investimentos!AR21</f>
        <v>0</v>
      </c>
      <c r="AW22" s="34">
        <f>Investimentos!AS21</f>
        <v>0</v>
      </c>
      <c r="AX22" s="34">
        <f>Investimentos!AT21</f>
        <v>0</v>
      </c>
      <c r="AY22" s="34">
        <f>Investimentos!AU21</f>
        <v>0</v>
      </c>
      <c r="AZ22" s="34">
        <f>Investimentos!AV21</f>
        <v>0</v>
      </c>
      <c r="BA22" s="34">
        <f>Investimentos!AW21</f>
        <v>0</v>
      </c>
      <c r="BB22" s="34">
        <f>Investimentos!AX21</f>
        <v>0</v>
      </c>
      <c r="BC22" s="34">
        <f>Investimentos!AY21</f>
        <v>0</v>
      </c>
    </row>
    <row r="23" spans="2:55" x14ac:dyDescent="0.35">
      <c r="B23" s="17" t="s">
        <v>42</v>
      </c>
      <c r="E23" s="33">
        <f t="shared" si="4"/>
        <v>72885.998579384861</v>
      </c>
      <c r="F23" s="33">
        <f t="shared" si="5"/>
        <v>73569.929999999993</v>
      </c>
      <c r="G23" s="33"/>
      <c r="H23" s="34">
        <f>Painel!B5</f>
        <v>73569.929999999993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2:55" x14ac:dyDescent="0.35">
      <c r="B24" s="17"/>
      <c r="E24" s="33"/>
      <c r="F24" s="33"/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2:55" x14ac:dyDescent="0.35">
      <c r="B25" s="17" t="s">
        <v>43</v>
      </c>
      <c r="E25" s="33">
        <f t="shared" si="4"/>
        <v>3.0419101137067537E-9</v>
      </c>
      <c r="F25" s="33">
        <f t="shared" si="5"/>
        <v>359869.3198346952</v>
      </c>
      <c r="G25" s="33"/>
      <c r="H25" s="34">
        <f>H21-H22-H23</f>
        <v>-392515.52499999997</v>
      </c>
      <c r="I25" s="34">
        <f t="shared" ref="I25:BC25" si="7">I21-I22-I23</f>
        <v>-311890.46259999997</v>
      </c>
      <c r="J25" s="34">
        <f t="shared" si="7"/>
        <v>-316744.46259999997</v>
      </c>
      <c r="K25" s="34">
        <f t="shared" si="7"/>
        <v>-294776.34464499995</v>
      </c>
      <c r="L25" s="34">
        <f t="shared" si="7"/>
        <v>-294776.34464499995</v>
      </c>
      <c r="M25" s="34">
        <f t="shared" si="7"/>
        <v>86232.960100574273</v>
      </c>
      <c r="N25" s="34">
        <f t="shared" si="7"/>
        <v>118386.96010057427</v>
      </c>
      <c r="O25" s="34">
        <f t="shared" si="7"/>
        <v>118386.96010057427</v>
      </c>
      <c r="P25" s="34">
        <f t="shared" si="7"/>
        <v>15632.829475574323</v>
      </c>
      <c r="Q25" s="34">
        <f t="shared" si="7"/>
        <v>41844.429475574325</v>
      </c>
      <c r="R25" s="34">
        <f t="shared" si="7"/>
        <v>41844.429475574325</v>
      </c>
      <c r="S25" s="34">
        <f t="shared" si="7"/>
        <v>41844.429475574325</v>
      </c>
      <c r="T25" s="34">
        <f t="shared" si="7"/>
        <v>41844.429475574325</v>
      </c>
      <c r="U25" s="34">
        <f t="shared" si="7"/>
        <v>41844.429475574325</v>
      </c>
      <c r="V25" s="34">
        <f t="shared" si="7"/>
        <v>41844.429475574325</v>
      </c>
      <c r="W25" s="34">
        <f t="shared" si="7"/>
        <v>41844.429475574325</v>
      </c>
      <c r="X25" s="34">
        <f t="shared" si="7"/>
        <v>41844.429475574325</v>
      </c>
      <c r="Y25" s="34">
        <f t="shared" si="7"/>
        <v>41844.429475574325</v>
      </c>
      <c r="Z25" s="34">
        <f t="shared" si="7"/>
        <v>41844.429475574325</v>
      </c>
      <c r="AA25" s="34">
        <f t="shared" si="7"/>
        <v>41844.429475574325</v>
      </c>
      <c r="AB25" s="34">
        <f t="shared" si="7"/>
        <v>41844.429475574325</v>
      </c>
      <c r="AC25" s="34">
        <f t="shared" si="7"/>
        <v>41844.429475574325</v>
      </c>
      <c r="AD25" s="34">
        <f t="shared" si="7"/>
        <v>41844.429475574325</v>
      </c>
      <c r="AE25" s="34">
        <f t="shared" si="7"/>
        <v>41844.429475574325</v>
      </c>
      <c r="AF25" s="34">
        <f t="shared" si="7"/>
        <v>41844.429475574325</v>
      </c>
      <c r="AG25" s="34">
        <f t="shared" si="7"/>
        <v>41844.429475574325</v>
      </c>
      <c r="AH25" s="34">
        <f t="shared" si="7"/>
        <v>41844.429475574325</v>
      </c>
      <c r="AI25" s="34">
        <f t="shared" si="7"/>
        <v>41844.429475574325</v>
      </c>
      <c r="AJ25" s="34">
        <f t="shared" si="7"/>
        <v>41844.429475574325</v>
      </c>
      <c r="AK25" s="34">
        <f t="shared" si="7"/>
        <v>41844.429475574325</v>
      </c>
      <c r="AL25" s="34">
        <f t="shared" si="7"/>
        <v>41844.429475574325</v>
      </c>
      <c r="AM25" s="34">
        <f t="shared" si="7"/>
        <v>41844.429475574325</v>
      </c>
      <c r="AN25" s="34">
        <f t="shared" si="7"/>
        <v>41844.429475574325</v>
      </c>
      <c r="AO25" s="34">
        <f t="shared" si="7"/>
        <v>41844.429475574325</v>
      </c>
      <c r="AP25" s="34">
        <f t="shared" si="7"/>
        <v>41844.429475574325</v>
      </c>
      <c r="AQ25" s="34">
        <f t="shared" si="7"/>
        <v>41844.429475574325</v>
      </c>
      <c r="AR25" s="34">
        <f t="shared" si="7"/>
        <v>41844.429475574325</v>
      </c>
      <c r="AS25" s="34">
        <f t="shared" si="7"/>
        <v>41844.429475574325</v>
      </c>
      <c r="AT25" s="34">
        <f t="shared" si="7"/>
        <v>41844.429475574325</v>
      </c>
      <c r="AU25" s="34">
        <f t="shared" si="7"/>
        <v>41844.429475574325</v>
      </c>
      <c r="AV25" s="34">
        <f t="shared" si="7"/>
        <v>41844.429475574325</v>
      </c>
      <c r="AW25" s="34">
        <f t="shared" si="7"/>
        <v>41844.429475574325</v>
      </c>
      <c r="AX25" s="34">
        <f t="shared" si="7"/>
        <v>41844.429475574325</v>
      </c>
      <c r="AY25" s="34">
        <f t="shared" si="7"/>
        <v>41844.429475574325</v>
      </c>
      <c r="AZ25" s="34">
        <f t="shared" si="7"/>
        <v>41844.429475574325</v>
      </c>
      <c r="BA25" s="34">
        <f t="shared" si="7"/>
        <v>41844.429475574325</v>
      </c>
      <c r="BB25" s="34">
        <f t="shared" si="7"/>
        <v>41844.429475574325</v>
      </c>
      <c r="BC25" s="34">
        <f t="shared" si="7"/>
        <v>41844.429475574325</v>
      </c>
    </row>
    <row r="26" spans="2:55" x14ac:dyDescent="0.35">
      <c r="B26" s="17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</row>
    <row r="27" spans="2:55" x14ac:dyDescent="0.35">
      <c r="B27" s="17" t="s">
        <v>44</v>
      </c>
      <c r="E27" s="33"/>
      <c r="F27" s="33">
        <f t="shared" si="5"/>
        <v>1.3860699255019426E-9</v>
      </c>
      <c r="G27" s="33"/>
      <c r="H27" s="34">
        <f t="shared" ref="H27:BC27" si="8">H25/((1+$C$2)^H19)</f>
        <v>-388866.56542335305</v>
      </c>
      <c r="I27" s="34">
        <f t="shared" si="8"/>
        <v>-306118.53437638888</v>
      </c>
      <c r="J27" s="34">
        <f t="shared" si="8"/>
        <v>-307992.63220382214</v>
      </c>
      <c r="K27" s="34">
        <f t="shared" si="8"/>
        <v>-283966.88064538763</v>
      </c>
      <c r="L27" s="34">
        <f t="shared" si="8"/>
        <v>-281327.02667125111</v>
      </c>
      <c r="M27" s="34">
        <f t="shared" si="8"/>
        <v>81533.462649719295</v>
      </c>
      <c r="N27" s="34">
        <f t="shared" si="8"/>
        <v>110894.55613648273</v>
      </c>
      <c r="O27" s="34">
        <f t="shared" si="8"/>
        <v>109863.64212967441</v>
      </c>
      <c r="P27" s="34">
        <f t="shared" si="8"/>
        <v>14372.472268115745</v>
      </c>
      <c r="Q27" s="34">
        <f t="shared" si="8"/>
        <v>38113.190452609793</v>
      </c>
      <c r="R27" s="34">
        <f t="shared" si="8"/>
        <v>37758.877100803846</v>
      </c>
      <c r="S27" s="34">
        <f t="shared" si="8"/>
        <v>37407.85756800852</v>
      </c>
      <c r="T27" s="34">
        <f t="shared" si="8"/>
        <v>37060.101233747278</v>
      </c>
      <c r="U27" s="34">
        <f t="shared" si="8"/>
        <v>36715.577762202069</v>
      </c>
      <c r="V27" s="34">
        <f t="shared" si="8"/>
        <v>36374.25709956709</v>
      </c>
      <c r="W27" s="34">
        <f t="shared" si="8"/>
        <v>36036.109471427088</v>
      </c>
      <c r="X27" s="34">
        <f t="shared" si="8"/>
        <v>35701.10538015997</v>
      </c>
      <c r="Y27" s="34">
        <f t="shared" si="8"/>
        <v>35369.215602363744</v>
      </c>
      <c r="Z27" s="34">
        <f t="shared" si="8"/>
        <v>35040.411186307247</v>
      </c>
      <c r="AA27" s="34">
        <f t="shared" si="8"/>
        <v>34714.663449404557</v>
      </c>
      <c r="AB27" s="34">
        <f t="shared" si="8"/>
        <v>34391.943975712966</v>
      </c>
      <c r="AC27" s="34">
        <f t="shared" si="8"/>
        <v>34072.224613454149</v>
      </c>
      <c r="AD27" s="34">
        <f t="shared" si="8"/>
        <v>33755.477472558428</v>
      </c>
      <c r="AE27" s="34">
        <f t="shared" si="8"/>
        <v>33441.674922231839</v>
      </c>
      <c r="AF27" s="34">
        <f t="shared" si="8"/>
        <v>33130.789588545762</v>
      </c>
      <c r="AG27" s="34">
        <f t="shared" si="8"/>
        <v>32822.794352049066</v>
      </c>
      <c r="AH27" s="34">
        <f t="shared" si="8"/>
        <v>32517.662345402387</v>
      </c>
      <c r="AI27" s="34">
        <f t="shared" si="8"/>
        <v>32215.366951034408</v>
      </c>
      <c r="AJ27" s="34">
        <f t="shared" si="8"/>
        <v>31915.881798819933</v>
      </c>
      <c r="AK27" s="34">
        <f t="shared" si="8"/>
        <v>31619.180763779503</v>
      </c>
      <c r="AL27" s="34">
        <f t="shared" si="8"/>
        <v>31325.237963800508</v>
      </c>
      <c r="AM27" s="34">
        <f t="shared" si="8"/>
        <v>31034.027757379368</v>
      </c>
      <c r="AN27" s="34">
        <f t="shared" si="8"/>
        <v>30745.524741384736</v>
      </c>
      <c r="AO27" s="34">
        <f t="shared" si="8"/>
        <v>30459.703748841544</v>
      </c>
      <c r="AP27" s="34">
        <f t="shared" si="8"/>
        <v>30176.539846735599</v>
      </c>
      <c r="AQ27" s="34">
        <f t="shared" si="8"/>
        <v>29896.008333838592</v>
      </c>
      <c r="AR27" s="34">
        <f t="shared" si="8"/>
        <v>29618.084738553345</v>
      </c>
      <c r="AS27" s="34">
        <f t="shared" si="8"/>
        <v>29342.744816779075</v>
      </c>
      <c r="AT27" s="34">
        <f t="shared" si="8"/>
        <v>29069.964549796525</v>
      </c>
      <c r="AU27" s="34">
        <f t="shared" si="8"/>
        <v>28799.720142172737</v>
      </c>
      <c r="AV27" s="34">
        <f t="shared" si="8"/>
        <v>28531.988019685265</v>
      </c>
      <c r="AW27" s="34">
        <f t="shared" si="8"/>
        <v>28266.744827265789</v>
      </c>
      <c r="AX27" s="34">
        <f t="shared" si="8"/>
        <v>28003.967426962736</v>
      </c>
      <c r="AY27" s="34">
        <f t="shared" si="8"/>
        <v>27743.632895922918</v>
      </c>
      <c r="AZ27" s="34">
        <f t="shared" si="8"/>
        <v>27485.718524391876</v>
      </c>
      <c r="BA27" s="34">
        <f t="shared" si="8"/>
        <v>27230.201813732838</v>
      </c>
      <c r="BB27" s="34">
        <f t="shared" si="8"/>
        <v>26977.06047446415</v>
      </c>
      <c r="BC27" s="34">
        <f t="shared" si="8"/>
        <v>26726.272424314855</v>
      </c>
    </row>
    <row r="28" spans="2:55" x14ac:dyDescent="0.35">
      <c r="B28" s="17"/>
    </row>
    <row r="29" spans="2:55" x14ac:dyDescent="0.35">
      <c r="B29" s="17" t="s">
        <v>21</v>
      </c>
      <c r="F29" s="33">
        <f t="shared" si="5"/>
        <v>1.3860699255019426E-9</v>
      </c>
      <c r="H29" s="34">
        <f>SUM(H27:BC27)</f>
        <v>1.3860699255019426E-9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FE12-5F0A-4E09-A08D-FB1FDF77B66A}">
  <dimension ref="A1:BB43"/>
  <sheetViews>
    <sheetView workbookViewId="0">
      <selection activeCell="D46" sqref="D46"/>
    </sheetView>
  </sheetViews>
  <sheetFormatPr defaultRowHeight="14.5" x14ac:dyDescent="0.35"/>
  <cols>
    <col min="1" max="1" width="24.26953125" bestFit="1" customWidth="1"/>
    <col min="2" max="3" width="15.453125" bestFit="1" customWidth="1"/>
    <col min="4" max="4" width="16" bestFit="1" customWidth="1"/>
    <col min="5" max="5" width="25" bestFit="1" customWidth="1"/>
    <col min="6" max="6" width="24.453125" bestFit="1" customWidth="1"/>
    <col min="7" max="9" width="12.7265625" bestFit="1" customWidth="1"/>
    <col min="10" max="10" width="15" bestFit="1" customWidth="1"/>
    <col min="11" max="11" width="12.7265625" bestFit="1" customWidth="1"/>
    <col min="12" max="12" width="15.453125" bestFit="1" customWidth="1"/>
    <col min="13" max="53" width="12.7265625" bestFit="1" customWidth="1"/>
    <col min="54" max="54" width="15.453125" bestFit="1" customWidth="1"/>
  </cols>
  <sheetData>
    <row r="1" spans="1:13" x14ac:dyDescent="0.35">
      <c r="J1" s="44" t="s">
        <v>45</v>
      </c>
      <c r="K1" s="44"/>
      <c r="L1" s="44"/>
      <c r="M1" s="44"/>
    </row>
    <row r="2" spans="1:13" x14ac:dyDescent="0.35">
      <c r="A2" t="s">
        <v>46</v>
      </c>
      <c r="J2" s="27" t="s">
        <v>47</v>
      </c>
      <c r="K2" s="27" t="s">
        <v>48</v>
      </c>
      <c r="L2" s="27" t="s">
        <v>49</v>
      </c>
      <c r="M2" s="27" t="s">
        <v>50</v>
      </c>
    </row>
    <row r="3" spans="1:13" x14ac:dyDescent="0.35">
      <c r="A3" t="s">
        <v>51</v>
      </c>
      <c r="B3" t="s">
        <v>52</v>
      </c>
      <c r="C3" t="s">
        <v>53</v>
      </c>
      <c r="D3" t="s">
        <v>54</v>
      </c>
      <c r="E3" t="s">
        <v>55</v>
      </c>
      <c r="F3" t="s">
        <v>56</v>
      </c>
      <c r="G3" t="s">
        <v>57</v>
      </c>
      <c r="J3" s="25" t="s">
        <v>46</v>
      </c>
      <c r="K3" s="26">
        <f>G4</f>
        <v>237033.74999999997</v>
      </c>
      <c r="L3" s="26">
        <f>C37</f>
        <v>10429484.999999998</v>
      </c>
      <c r="M3" s="26">
        <f>D37</f>
        <v>217280.93749999997</v>
      </c>
    </row>
    <row r="4" spans="1:13" x14ac:dyDescent="0.35">
      <c r="A4" s="4">
        <v>120928.15</v>
      </c>
      <c r="B4" s="4">
        <v>19001.900000000001</v>
      </c>
      <c r="C4" s="4">
        <v>2000</v>
      </c>
      <c r="D4" s="4">
        <v>69101.8</v>
      </c>
      <c r="E4" s="4">
        <v>19001.900000000001</v>
      </c>
      <c r="F4" s="4">
        <v>7000</v>
      </c>
      <c r="G4" s="3">
        <f>SUM(A4:F4)</f>
        <v>237033.74999999997</v>
      </c>
      <c r="J4" s="25" t="s">
        <v>58</v>
      </c>
      <c r="K4" s="26">
        <f>G6+G8+G10+G17+G13</f>
        <v>133274.56</v>
      </c>
      <c r="L4" s="26">
        <f t="shared" ref="L4:L7" si="0">C38</f>
        <v>6397178.8799999943</v>
      </c>
      <c r="M4" s="26">
        <f t="shared" ref="M4:M7" si="1">D38</f>
        <v>133274.55999999988</v>
      </c>
    </row>
    <row r="5" spans="1:13" x14ac:dyDescent="0.35">
      <c r="A5" t="s">
        <v>59</v>
      </c>
      <c r="J5" s="25" t="s">
        <v>60</v>
      </c>
      <c r="K5" s="26">
        <f>E25+E26</f>
        <v>42000</v>
      </c>
      <c r="L5" s="26">
        <f t="shared" si="0"/>
        <v>2016000</v>
      </c>
      <c r="M5" s="26">
        <f t="shared" si="1"/>
        <v>42000</v>
      </c>
    </row>
    <row r="6" spans="1:13" x14ac:dyDescent="0.35">
      <c r="A6" s="4">
        <v>90740.52</v>
      </c>
      <c r="G6" s="3">
        <f>A6</f>
        <v>90740.52</v>
      </c>
      <c r="J6" s="25" t="s">
        <v>61</v>
      </c>
      <c r="K6" s="26">
        <f>G20</f>
        <v>7000</v>
      </c>
      <c r="L6" s="26">
        <f t="shared" si="0"/>
        <v>336000</v>
      </c>
      <c r="M6" s="26">
        <f t="shared" si="1"/>
        <v>7000</v>
      </c>
    </row>
    <row r="7" spans="1:13" x14ac:dyDescent="0.35">
      <c r="A7" t="s">
        <v>62</v>
      </c>
      <c r="J7" s="25" t="s">
        <v>63</v>
      </c>
      <c r="K7" s="26">
        <f>B31</f>
        <v>18154.16</v>
      </c>
      <c r="L7" s="26">
        <f t="shared" si="0"/>
        <v>871399.68000000028</v>
      </c>
      <c r="M7" s="26">
        <f t="shared" si="1"/>
        <v>18154.160000000007</v>
      </c>
    </row>
    <row r="8" spans="1:13" x14ac:dyDescent="0.35">
      <c r="A8" s="4">
        <v>27800</v>
      </c>
      <c r="G8" s="3">
        <f>A8</f>
        <v>27800</v>
      </c>
    </row>
    <row r="9" spans="1:13" x14ac:dyDescent="0.35">
      <c r="A9" t="s">
        <v>64</v>
      </c>
    </row>
    <row r="10" spans="1:13" x14ac:dyDescent="0.35">
      <c r="A10" s="4">
        <v>12174.04</v>
      </c>
      <c r="G10" s="3">
        <f>A10</f>
        <v>12174.04</v>
      </c>
    </row>
    <row r="11" spans="1:13" x14ac:dyDescent="0.35">
      <c r="A11" s="6"/>
      <c r="G11" s="3"/>
    </row>
    <row r="12" spans="1:13" x14ac:dyDescent="0.35">
      <c r="A12" s="4"/>
      <c r="G12" s="3"/>
    </row>
    <row r="13" spans="1:13" x14ac:dyDescent="0.35">
      <c r="A13" s="5"/>
      <c r="B13" s="4"/>
      <c r="G13" s="3"/>
    </row>
    <row r="14" spans="1:13" x14ac:dyDescent="0.35">
      <c r="A14" s="4"/>
      <c r="G14" s="3"/>
    </row>
    <row r="15" spans="1:13" x14ac:dyDescent="0.35">
      <c r="A15" s="4"/>
      <c r="G15" s="3"/>
    </row>
    <row r="16" spans="1:13" x14ac:dyDescent="0.35">
      <c r="A16" t="s">
        <v>65</v>
      </c>
    </row>
    <row r="17" spans="1:7" x14ac:dyDescent="0.35">
      <c r="A17" s="4">
        <v>2560</v>
      </c>
      <c r="G17" s="3">
        <f>A17</f>
        <v>2560</v>
      </c>
    </row>
    <row r="18" spans="1:7" x14ac:dyDescent="0.35">
      <c r="A18" s="4" t="s">
        <v>61</v>
      </c>
      <c r="G18" s="3"/>
    </row>
    <row r="19" spans="1:7" x14ac:dyDescent="0.35">
      <c r="A19" s="1" t="s">
        <v>66</v>
      </c>
      <c r="B19" s="1" t="s">
        <v>67</v>
      </c>
      <c r="C19" s="1" t="s">
        <v>68</v>
      </c>
      <c r="D19" s="1" t="s">
        <v>69</v>
      </c>
      <c r="E19" s="1" t="s">
        <v>28</v>
      </c>
      <c r="G19" s="1"/>
    </row>
    <row r="20" spans="1:7" x14ac:dyDescent="0.35">
      <c r="A20" s="4">
        <v>350</v>
      </c>
      <c r="B20" s="5">
        <v>5000</v>
      </c>
      <c r="C20" s="1">
        <v>1</v>
      </c>
      <c r="D20" s="1">
        <v>4</v>
      </c>
      <c r="E20" s="1">
        <v>20</v>
      </c>
      <c r="F20" s="1"/>
      <c r="G20" s="4">
        <f>E20*A20</f>
        <v>7000</v>
      </c>
    </row>
    <row r="21" spans="1:7" x14ac:dyDescent="0.35">
      <c r="A21" s="4"/>
      <c r="G21" s="3"/>
    </row>
    <row r="22" spans="1:7" x14ac:dyDescent="0.35">
      <c r="A22" s="4"/>
      <c r="G22" s="3"/>
    </row>
    <row r="24" spans="1:7" x14ac:dyDescent="0.35">
      <c r="A24" t="s">
        <v>70</v>
      </c>
      <c r="B24" t="s">
        <v>71</v>
      </c>
      <c r="C24" t="s">
        <v>72</v>
      </c>
      <c r="D24" t="s">
        <v>73</v>
      </c>
      <c r="E24" s="1" t="s">
        <v>49</v>
      </c>
    </row>
    <row r="25" spans="1:7" x14ac:dyDescent="0.35">
      <c r="A25" t="s">
        <v>74</v>
      </c>
      <c r="B25" s="4">
        <v>12000</v>
      </c>
      <c r="C25">
        <v>1</v>
      </c>
      <c r="D25">
        <v>1.5</v>
      </c>
      <c r="E25" s="4">
        <f>D25*C25*B25</f>
        <v>18000</v>
      </c>
    </row>
    <row r="26" spans="1:7" x14ac:dyDescent="0.35">
      <c r="A26" t="s">
        <v>75</v>
      </c>
      <c r="B26" s="4">
        <v>4000</v>
      </c>
      <c r="C26">
        <v>4</v>
      </c>
      <c r="D26">
        <v>1.5</v>
      </c>
      <c r="E26" s="4">
        <f>D26*C26*B26</f>
        <v>24000</v>
      </c>
    </row>
    <row r="28" spans="1:7" x14ac:dyDescent="0.35">
      <c r="A28" t="s">
        <v>76</v>
      </c>
      <c r="B28" s="4">
        <v>15201.16</v>
      </c>
    </row>
    <row r="29" spans="1:7" x14ac:dyDescent="0.35">
      <c r="A29" s="7" t="s">
        <v>77</v>
      </c>
      <c r="B29" s="4">
        <v>2709.47</v>
      </c>
      <c r="G29" s="3"/>
    </row>
    <row r="30" spans="1:7" x14ac:dyDescent="0.35">
      <c r="A30" s="7" t="s">
        <v>78</v>
      </c>
      <c r="B30" s="4">
        <v>243.53</v>
      </c>
    </row>
    <row r="31" spans="1:7" x14ac:dyDescent="0.35">
      <c r="A31" t="s">
        <v>63</v>
      </c>
      <c r="B31" s="3">
        <f>SUM(B28:B30)</f>
        <v>18154.16</v>
      </c>
    </row>
    <row r="36" spans="1:54" s="13" customFormat="1" x14ac:dyDescent="0.35">
      <c r="A36" s="28" t="s">
        <v>47</v>
      </c>
      <c r="B36" s="28" t="s">
        <v>48</v>
      </c>
      <c r="C36" s="28" t="s">
        <v>79</v>
      </c>
      <c r="D36" s="28" t="s">
        <v>50</v>
      </c>
      <c r="E36" s="28" t="s">
        <v>28</v>
      </c>
      <c r="F36" s="28">
        <v>1</v>
      </c>
      <c r="G36" s="28">
        <v>2</v>
      </c>
      <c r="H36" s="28">
        <v>3</v>
      </c>
      <c r="I36" s="28">
        <v>4</v>
      </c>
      <c r="J36" s="28">
        <v>5</v>
      </c>
      <c r="K36" s="28">
        <v>6</v>
      </c>
      <c r="L36" s="28">
        <v>7</v>
      </c>
      <c r="M36" s="28">
        <v>8</v>
      </c>
      <c r="N36" s="28">
        <v>9</v>
      </c>
      <c r="O36" s="28">
        <v>10</v>
      </c>
      <c r="P36" s="28">
        <v>11</v>
      </c>
      <c r="Q36" s="28">
        <v>12</v>
      </c>
      <c r="R36" s="28">
        <v>13</v>
      </c>
      <c r="S36" s="28">
        <v>14</v>
      </c>
      <c r="T36" s="28">
        <v>15</v>
      </c>
      <c r="U36" s="28">
        <v>16</v>
      </c>
      <c r="V36" s="28">
        <v>17</v>
      </c>
      <c r="W36" s="28">
        <v>18</v>
      </c>
      <c r="X36" s="28">
        <v>19</v>
      </c>
      <c r="Y36" s="28">
        <v>20</v>
      </c>
      <c r="Z36" s="28">
        <v>21</v>
      </c>
      <c r="AA36" s="28">
        <v>22</v>
      </c>
      <c r="AB36" s="28">
        <v>23</v>
      </c>
      <c r="AC36" s="28">
        <v>24</v>
      </c>
      <c r="AD36" s="28">
        <v>25</v>
      </c>
      <c r="AE36" s="28">
        <v>26</v>
      </c>
      <c r="AF36" s="28">
        <v>27</v>
      </c>
      <c r="AG36" s="28">
        <v>28</v>
      </c>
      <c r="AH36" s="28">
        <v>29</v>
      </c>
      <c r="AI36" s="28">
        <v>30</v>
      </c>
      <c r="AJ36" s="28">
        <v>31</v>
      </c>
      <c r="AK36" s="28">
        <v>32</v>
      </c>
      <c r="AL36" s="28">
        <v>33</v>
      </c>
      <c r="AM36" s="28">
        <v>34</v>
      </c>
      <c r="AN36" s="28">
        <v>35</v>
      </c>
      <c r="AO36" s="28">
        <v>36</v>
      </c>
      <c r="AP36" s="28">
        <v>37</v>
      </c>
      <c r="AQ36" s="28">
        <v>38</v>
      </c>
      <c r="AR36" s="28">
        <v>39</v>
      </c>
      <c r="AS36" s="28">
        <v>40</v>
      </c>
      <c r="AT36" s="28">
        <v>41</v>
      </c>
      <c r="AU36" s="28">
        <v>42</v>
      </c>
      <c r="AV36" s="28">
        <v>43</v>
      </c>
      <c r="AW36" s="28">
        <v>44</v>
      </c>
      <c r="AX36" s="28">
        <v>45</v>
      </c>
      <c r="AY36" s="28">
        <v>46</v>
      </c>
      <c r="AZ36" s="28">
        <v>47</v>
      </c>
      <c r="BA36" s="28">
        <v>48</v>
      </c>
    </row>
    <row r="37" spans="1:54" x14ac:dyDescent="0.35">
      <c r="A37" t="str">
        <f>J3</f>
        <v>Vigilância</v>
      </c>
      <c r="B37" s="4">
        <f>K3</f>
        <v>237033.74999999997</v>
      </c>
      <c r="C37" s="4">
        <f>SUM(F37:BA37)</f>
        <v>10429484.999999998</v>
      </c>
      <c r="D37" s="4">
        <f>AVERAGE(F37:BA37)</f>
        <v>217280.93749999997</v>
      </c>
      <c r="F37" s="4">
        <f>IF(F$36&lt;=Painel!$B$2,'Despesas e Custos'!$B$37,0)*IF(F$36&lt;=8,0.5,1)</f>
        <v>118516.87499999999</v>
      </c>
      <c r="G37" s="4">
        <f>IF(G$36&lt;=Painel!$B$2,'Despesas e Custos'!$B$37,0)*IF(G$36&lt;=8,0.5,1)</f>
        <v>118516.87499999999</v>
      </c>
      <c r="H37" s="4">
        <f>IF(H$36&lt;=Painel!$B$2,'Despesas e Custos'!$B$37,0)*IF(H$36&lt;=8,0.5,1)</f>
        <v>118516.87499999999</v>
      </c>
      <c r="I37" s="4">
        <f>IF(I$36&lt;=Painel!$B$2,'Despesas e Custos'!$B$37,0)*IF(I$36&lt;=8,0.5,1)</f>
        <v>118516.87499999999</v>
      </c>
      <c r="J37" s="4">
        <f>IF(J$36&lt;=Painel!$B$2,'Despesas e Custos'!$B$37,0)*IF(J$36&lt;=8,0.5,1)</f>
        <v>118516.87499999999</v>
      </c>
      <c r="K37" s="4">
        <f>IF(K$36&lt;=Painel!$B$2,'Despesas e Custos'!$B$37,0)*IF(K$36&lt;=8,0.5,1)</f>
        <v>118516.87499999999</v>
      </c>
      <c r="L37" s="4">
        <f>IF(L$36&lt;=Painel!$B$2,'Despesas e Custos'!$B$37,0)*IF(L$36&lt;=8,0.5,1)</f>
        <v>118516.87499999999</v>
      </c>
      <c r="M37" s="4">
        <f>IF(M$36&lt;=Painel!$B$2,'Despesas e Custos'!$B$37,0)*IF(M$36&lt;=8,0.5,1)</f>
        <v>118516.87499999999</v>
      </c>
      <c r="N37" s="4">
        <f>IF(N$36&lt;=Painel!$B$2,'Despesas e Custos'!$B$37,0)*IF(N$36&lt;=8,0.5,1)</f>
        <v>237033.74999999997</v>
      </c>
      <c r="O37" s="4">
        <f>IF(O36&lt;=Painel!$B$2,'Despesas e Custos'!$B$37,0)</f>
        <v>237033.74999999997</v>
      </c>
      <c r="P37" s="4">
        <f>IF(P36&lt;=Painel!$B$2,'Despesas e Custos'!$B$37,0)</f>
        <v>237033.74999999997</v>
      </c>
      <c r="Q37" s="4">
        <f>IF(Q36&lt;=Painel!$B$2,'Despesas e Custos'!$B$37,0)</f>
        <v>237033.74999999997</v>
      </c>
      <c r="R37" s="4">
        <f>IF(R36&lt;=Painel!$B$2,'Despesas e Custos'!$B$37,0)</f>
        <v>237033.74999999997</v>
      </c>
      <c r="S37" s="4">
        <f>IF(S36&lt;=Painel!$B$2,'Despesas e Custos'!$B$37,0)</f>
        <v>237033.74999999997</v>
      </c>
      <c r="T37" s="4">
        <f>IF(T36&lt;=Painel!$B$2,'Despesas e Custos'!$B$37,0)</f>
        <v>237033.74999999997</v>
      </c>
      <c r="U37" s="4">
        <f>IF(U36&lt;=Painel!$B$2,'Despesas e Custos'!$B$37,0)</f>
        <v>237033.74999999997</v>
      </c>
      <c r="V37" s="4">
        <f>IF(V36&lt;=Painel!$B$2,'Despesas e Custos'!$B$37,0)</f>
        <v>237033.74999999997</v>
      </c>
      <c r="W37" s="4">
        <f>IF(W36&lt;=Painel!$B$2,'Despesas e Custos'!$B$37,0)</f>
        <v>237033.74999999997</v>
      </c>
      <c r="X37" s="4">
        <f>IF(X36&lt;=Painel!$B$2,'Despesas e Custos'!$B$37,0)</f>
        <v>237033.74999999997</v>
      </c>
      <c r="Y37" s="4">
        <f>IF(Y36&lt;=Painel!$B$2,'Despesas e Custos'!$B$37,0)</f>
        <v>237033.74999999997</v>
      </c>
      <c r="Z37" s="4">
        <f>IF(Z36&lt;=Painel!$B$2,'Despesas e Custos'!$B$37,0)</f>
        <v>237033.74999999997</v>
      </c>
      <c r="AA37" s="4">
        <f>IF(AA36&lt;=Painel!$B$2,'Despesas e Custos'!$B$37,0)</f>
        <v>237033.74999999997</v>
      </c>
      <c r="AB37" s="4">
        <f>IF(AB36&lt;=Painel!$B$2,'Despesas e Custos'!$B$37,0)</f>
        <v>237033.74999999997</v>
      </c>
      <c r="AC37" s="4">
        <f>IF(AC36&lt;=Painel!$B$2,'Despesas e Custos'!$B$37,0)</f>
        <v>237033.74999999997</v>
      </c>
      <c r="AD37" s="4">
        <f>IF(AD36&lt;=Painel!$B$2,'Despesas e Custos'!$B$37,0)</f>
        <v>237033.74999999997</v>
      </c>
      <c r="AE37" s="4">
        <f>IF(AE36&lt;=Painel!$B$2,'Despesas e Custos'!$B$37,0)</f>
        <v>237033.74999999997</v>
      </c>
      <c r="AF37" s="4">
        <f>IF(AF36&lt;=Painel!$B$2,'Despesas e Custos'!$B$37,0)</f>
        <v>237033.74999999997</v>
      </c>
      <c r="AG37" s="4">
        <f>IF(AG36&lt;=Painel!$B$2,'Despesas e Custos'!$B$37,0)</f>
        <v>237033.74999999997</v>
      </c>
      <c r="AH37" s="4">
        <f>IF(AH36&lt;=Painel!$B$2,'Despesas e Custos'!$B$37,0)</f>
        <v>237033.74999999997</v>
      </c>
      <c r="AI37" s="4">
        <f>IF(AI36&lt;=Painel!$B$2,'Despesas e Custos'!$B$37,0)</f>
        <v>237033.74999999997</v>
      </c>
      <c r="AJ37" s="4">
        <f>IF(AJ36&lt;=Painel!$B$2,'Despesas e Custos'!$B$37,0)</f>
        <v>237033.74999999997</v>
      </c>
      <c r="AK37" s="4">
        <f>IF(AK36&lt;=Painel!$B$2,'Despesas e Custos'!$B$37,0)</f>
        <v>237033.74999999997</v>
      </c>
      <c r="AL37" s="4">
        <f>IF(AL36&lt;=Painel!$B$2,'Despesas e Custos'!$B$37,0)</f>
        <v>237033.74999999997</v>
      </c>
      <c r="AM37" s="4">
        <f>IF(AM36&lt;=Painel!$B$2,'Despesas e Custos'!$B$37,0)</f>
        <v>237033.74999999997</v>
      </c>
      <c r="AN37" s="4">
        <f>IF(AN36&lt;=Painel!$B$2,'Despesas e Custos'!$B$37,0)</f>
        <v>237033.74999999997</v>
      </c>
      <c r="AO37" s="4">
        <f>IF(AO36&lt;=Painel!$B$2,'Despesas e Custos'!$B$37,0)</f>
        <v>237033.74999999997</v>
      </c>
      <c r="AP37" s="4">
        <f>IF(AP36&lt;=Painel!$B$2,'Despesas e Custos'!$B$37,0)</f>
        <v>237033.74999999997</v>
      </c>
      <c r="AQ37" s="4">
        <f>IF(AQ36&lt;=Painel!$B$2,'Despesas e Custos'!$B$37,0)</f>
        <v>237033.74999999997</v>
      </c>
      <c r="AR37" s="4">
        <f>IF(AR36&lt;=Painel!$B$2,'Despesas e Custos'!$B$37,0)</f>
        <v>237033.74999999997</v>
      </c>
      <c r="AS37" s="4">
        <f>IF(AS36&lt;=Painel!$B$2,'Despesas e Custos'!$B$37,0)</f>
        <v>237033.74999999997</v>
      </c>
      <c r="AT37" s="4">
        <f>IF(AT36&lt;=Painel!$B$2,'Despesas e Custos'!$B$37,0)</f>
        <v>237033.74999999997</v>
      </c>
      <c r="AU37" s="4">
        <f>IF(AU36&lt;=Painel!$B$2,'Despesas e Custos'!$B$37,0)</f>
        <v>237033.74999999997</v>
      </c>
      <c r="AV37" s="4">
        <f>IF(AV36&lt;=Painel!$B$2,'Despesas e Custos'!$B$37,0)</f>
        <v>237033.74999999997</v>
      </c>
      <c r="AW37" s="4">
        <f>IF(AW36&lt;=Painel!$B$2,'Despesas e Custos'!$B$37,0)</f>
        <v>237033.74999999997</v>
      </c>
      <c r="AX37" s="4">
        <f>IF(AX36&lt;=Painel!$B$2,'Despesas e Custos'!$B$37,0)</f>
        <v>237033.74999999997</v>
      </c>
      <c r="AY37" s="4">
        <f>IF(AY36&lt;=Painel!$B$2,'Despesas e Custos'!$B$37,0)</f>
        <v>237033.74999999997</v>
      </c>
      <c r="AZ37" s="4">
        <f>IF(AZ36&lt;=Painel!$B$2,'Despesas e Custos'!$B$37,0)</f>
        <v>237033.74999999997</v>
      </c>
      <c r="BA37" s="4">
        <f>IF(BA36&lt;=Painel!$B$2,'Despesas e Custos'!$B$37,0)</f>
        <v>237033.74999999997</v>
      </c>
    </row>
    <row r="38" spans="1:54" x14ac:dyDescent="0.35">
      <c r="A38" t="str">
        <f t="shared" ref="A38:A41" si="2">J4</f>
        <v>Manutenção</v>
      </c>
      <c r="B38" s="4">
        <f t="shared" ref="B38:B41" si="3">K4</f>
        <v>133274.56</v>
      </c>
      <c r="C38" s="4">
        <f t="shared" ref="C38:C41" si="4">SUM(F38:BA38)</f>
        <v>6397178.8799999943</v>
      </c>
      <c r="D38" s="4">
        <f t="shared" ref="D38:D41" si="5">AVERAGE(F38:BA38)</f>
        <v>133274.55999999988</v>
      </c>
      <c r="F38" s="4">
        <f>IF(F$36&lt;=Painel!$B$2,'Despesas e Custos'!$B$38,0)</f>
        <v>133274.56</v>
      </c>
      <c r="G38" s="4">
        <f>IF(G$36&lt;=Painel!$B$2,'Despesas e Custos'!$B$38,0)</f>
        <v>133274.56</v>
      </c>
      <c r="H38" s="4">
        <f>IF(H$36&lt;=Painel!$B$2,'Despesas e Custos'!$B$38,0)</f>
        <v>133274.56</v>
      </c>
      <c r="I38" s="4">
        <f>IF(I$36&lt;=Painel!$B$2,'Despesas e Custos'!$B$38,0)</f>
        <v>133274.56</v>
      </c>
      <c r="J38" s="4">
        <f>IF(J$36&lt;=Painel!$B$2,'Despesas e Custos'!$B$38,0)</f>
        <v>133274.56</v>
      </c>
      <c r="K38" s="4">
        <f>IF(K$36&lt;=Painel!$B$2,'Despesas e Custos'!$B$38,0)</f>
        <v>133274.56</v>
      </c>
      <c r="L38" s="4">
        <f>IF(L$36&lt;=Painel!$B$2,'Despesas e Custos'!$B$38,0)</f>
        <v>133274.56</v>
      </c>
      <c r="M38" s="4">
        <f>IF(M$36&lt;=Painel!$B$2,'Despesas e Custos'!$B$38,0)</f>
        <v>133274.56</v>
      </c>
      <c r="N38" s="4">
        <f>IF(N$36&lt;=Painel!$B$2,'Despesas e Custos'!$B$38,0)</f>
        <v>133274.56</v>
      </c>
      <c r="O38" s="4">
        <f>IF(O$36&lt;=Painel!$B$2,'Despesas e Custos'!$B$38,0)</f>
        <v>133274.56</v>
      </c>
      <c r="P38" s="4">
        <f>IF(P$36&lt;=Painel!$B$2,'Despesas e Custos'!$B$38,0)</f>
        <v>133274.56</v>
      </c>
      <c r="Q38" s="4">
        <f>IF(Q$36&lt;=Painel!$B$2,'Despesas e Custos'!$B$38,0)</f>
        <v>133274.56</v>
      </c>
      <c r="R38" s="4">
        <f>IF(R$36&lt;=Painel!$B$2,'Despesas e Custos'!$B$38,0)</f>
        <v>133274.56</v>
      </c>
      <c r="S38" s="4">
        <f>IF(S$36&lt;=Painel!$B$2,'Despesas e Custos'!$B$38,0)</f>
        <v>133274.56</v>
      </c>
      <c r="T38" s="4">
        <f>IF(T$36&lt;=Painel!$B$2,'Despesas e Custos'!$B$38,0)</f>
        <v>133274.56</v>
      </c>
      <c r="U38" s="4">
        <f>IF(U$36&lt;=Painel!$B$2,'Despesas e Custos'!$B$38,0)</f>
        <v>133274.56</v>
      </c>
      <c r="V38" s="4">
        <f>IF(V$36&lt;=Painel!$B$2,'Despesas e Custos'!$B$38,0)</f>
        <v>133274.56</v>
      </c>
      <c r="W38" s="4">
        <f>IF(W$36&lt;=Painel!$B$2,'Despesas e Custos'!$B$38,0)</f>
        <v>133274.56</v>
      </c>
      <c r="X38" s="4">
        <f>IF(X$36&lt;=Painel!$B$2,'Despesas e Custos'!$B$38,0)</f>
        <v>133274.56</v>
      </c>
      <c r="Y38" s="4">
        <f>IF(Y$36&lt;=Painel!$B$2,'Despesas e Custos'!$B$38,0)</f>
        <v>133274.56</v>
      </c>
      <c r="Z38" s="4">
        <f>IF(Z$36&lt;=Painel!$B$2,'Despesas e Custos'!$B$38,0)</f>
        <v>133274.56</v>
      </c>
      <c r="AA38" s="4">
        <f>IF(AA$36&lt;=Painel!$B$2,'Despesas e Custos'!$B$38,0)</f>
        <v>133274.56</v>
      </c>
      <c r="AB38" s="4">
        <f>IF(AB$36&lt;=Painel!$B$2,'Despesas e Custos'!$B$38,0)</f>
        <v>133274.56</v>
      </c>
      <c r="AC38" s="4">
        <f>IF(AC$36&lt;=Painel!$B$2,'Despesas e Custos'!$B$38,0)</f>
        <v>133274.56</v>
      </c>
      <c r="AD38" s="4">
        <f>IF(AD$36&lt;=Painel!$B$2,'Despesas e Custos'!$B$38,0)</f>
        <v>133274.56</v>
      </c>
      <c r="AE38" s="4">
        <f>IF(AE$36&lt;=Painel!$B$2,'Despesas e Custos'!$B$38,0)</f>
        <v>133274.56</v>
      </c>
      <c r="AF38" s="4">
        <f>IF(AF$36&lt;=Painel!$B$2,'Despesas e Custos'!$B$38,0)</f>
        <v>133274.56</v>
      </c>
      <c r="AG38" s="4">
        <f>IF(AG$36&lt;=Painel!$B$2,'Despesas e Custos'!$B$38,0)</f>
        <v>133274.56</v>
      </c>
      <c r="AH38" s="4">
        <f>IF(AH$36&lt;=Painel!$B$2,'Despesas e Custos'!$B$38,0)</f>
        <v>133274.56</v>
      </c>
      <c r="AI38" s="4">
        <f>IF(AI$36&lt;=Painel!$B$2,'Despesas e Custos'!$B$38,0)</f>
        <v>133274.56</v>
      </c>
      <c r="AJ38" s="4">
        <f>IF(AJ$36&lt;=Painel!$B$2,'Despesas e Custos'!$B$38,0)</f>
        <v>133274.56</v>
      </c>
      <c r="AK38" s="4">
        <f>IF(AK$36&lt;=Painel!$B$2,'Despesas e Custos'!$B$38,0)</f>
        <v>133274.56</v>
      </c>
      <c r="AL38" s="4">
        <f>IF(AL$36&lt;=Painel!$B$2,'Despesas e Custos'!$B$38,0)</f>
        <v>133274.56</v>
      </c>
      <c r="AM38" s="4">
        <f>IF(AM$36&lt;=Painel!$B$2,'Despesas e Custos'!$B$38,0)</f>
        <v>133274.56</v>
      </c>
      <c r="AN38" s="4">
        <f>IF(AN$36&lt;=Painel!$B$2,'Despesas e Custos'!$B$38,0)</f>
        <v>133274.56</v>
      </c>
      <c r="AO38" s="4">
        <f>IF(AO$36&lt;=Painel!$B$2,'Despesas e Custos'!$B$38,0)</f>
        <v>133274.56</v>
      </c>
      <c r="AP38" s="4">
        <f>IF(AP$36&lt;=Painel!$B$2,'Despesas e Custos'!$B$38,0)</f>
        <v>133274.56</v>
      </c>
      <c r="AQ38" s="4">
        <f>IF(AQ$36&lt;=Painel!$B$2,'Despesas e Custos'!$B$38,0)</f>
        <v>133274.56</v>
      </c>
      <c r="AR38" s="4">
        <f>IF(AR$36&lt;=Painel!$B$2,'Despesas e Custos'!$B$38,0)</f>
        <v>133274.56</v>
      </c>
      <c r="AS38" s="4">
        <f>IF(AS$36&lt;=Painel!$B$2,'Despesas e Custos'!$B$38,0)</f>
        <v>133274.56</v>
      </c>
      <c r="AT38" s="4">
        <f>IF(AT$36&lt;=Painel!$B$2,'Despesas e Custos'!$B$38,0)</f>
        <v>133274.56</v>
      </c>
      <c r="AU38" s="4">
        <f>IF(AU$36&lt;=Painel!$B$2,'Despesas e Custos'!$B$38,0)</f>
        <v>133274.56</v>
      </c>
      <c r="AV38" s="4">
        <f>IF(AV$36&lt;=Painel!$B$2,'Despesas e Custos'!$B$38,0)</f>
        <v>133274.56</v>
      </c>
      <c r="AW38" s="4">
        <f>IF(AW$36&lt;=Painel!$B$2,'Despesas e Custos'!$B$38,0)</f>
        <v>133274.56</v>
      </c>
      <c r="AX38" s="4">
        <f>IF(AX$36&lt;=Painel!$B$2,'Despesas e Custos'!$B$38,0)</f>
        <v>133274.56</v>
      </c>
      <c r="AY38" s="4">
        <f>IF(AY$36&lt;=Painel!$B$2,'Despesas e Custos'!$B$38,0)</f>
        <v>133274.56</v>
      </c>
      <c r="AZ38" s="4">
        <f>IF(AZ$36&lt;=Painel!$B$2,'Despesas e Custos'!$B$38,0)</f>
        <v>133274.56</v>
      </c>
      <c r="BA38" s="4">
        <f>IF(BA$36&lt;=Painel!$B$2,'Despesas e Custos'!$B$38,0)</f>
        <v>133274.56</v>
      </c>
    </row>
    <row r="39" spans="1:54" x14ac:dyDescent="0.35">
      <c r="A39" t="str">
        <f t="shared" si="2"/>
        <v>Salários Gestão</v>
      </c>
      <c r="B39" s="4">
        <f t="shared" si="3"/>
        <v>42000</v>
      </c>
      <c r="C39" s="4">
        <f t="shared" si="4"/>
        <v>2016000</v>
      </c>
      <c r="D39" s="4">
        <f t="shared" si="5"/>
        <v>42000</v>
      </c>
      <c r="F39" s="4">
        <f>IF(F$36&lt;=Painel!$B$2,'Despesas e Custos'!$B39,0)</f>
        <v>42000</v>
      </c>
      <c r="G39" s="4">
        <f>IF(G$36&lt;=Painel!$B$2,'Despesas e Custos'!$B39,0)</f>
        <v>42000</v>
      </c>
      <c r="H39" s="4">
        <f>IF(H$36&lt;=Painel!$B$2,'Despesas e Custos'!$B39,0)</f>
        <v>42000</v>
      </c>
      <c r="I39" s="4">
        <f>IF(I$36&lt;=Painel!$B$2,'Despesas e Custos'!$B39,0)</f>
        <v>42000</v>
      </c>
      <c r="J39" s="4">
        <f>IF(J$36&lt;=Painel!$B$2,'Despesas e Custos'!$B39,0)</f>
        <v>42000</v>
      </c>
      <c r="K39" s="4">
        <f>IF(K$36&lt;=Painel!$B$2,'Despesas e Custos'!$B39,0)</f>
        <v>42000</v>
      </c>
      <c r="L39" s="4">
        <f>IF(L$36&lt;=Painel!$B$2,'Despesas e Custos'!$B39,0)</f>
        <v>42000</v>
      </c>
      <c r="M39" s="4">
        <f>IF(M$36&lt;=Painel!$B$2,'Despesas e Custos'!$B39,0)</f>
        <v>42000</v>
      </c>
      <c r="N39" s="4">
        <f>IF(N$36&lt;=Painel!$B$2,'Despesas e Custos'!$B39,0)</f>
        <v>42000</v>
      </c>
      <c r="O39" s="4">
        <f>IF(O$36&lt;=Painel!$B$2,'Despesas e Custos'!$B39,0)</f>
        <v>42000</v>
      </c>
      <c r="P39" s="4">
        <f>IF(P$36&lt;=Painel!$B$2,'Despesas e Custos'!$B39,0)</f>
        <v>42000</v>
      </c>
      <c r="Q39" s="4">
        <f>IF(Q$36&lt;=Painel!$B$2,'Despesas e Custos'!$B39,0)</f>
        <v>42000</v>
      </c>
      <c r="R39" s="4">
        <f>IF(R$36&lt;=Painel!$B$2,'Despesas e Custos'!$B39,0)</f>
        <v>42000</v>
      </c>
      <c r="S39" s="4">
        <f>IF(S$36&lt;=Painel!$B$2,'Despesas e Custos'!$B39,0)</f>
        <v>42000</v>
      </c>
      <c r="T39" s="4">
        <f>IF(T$36&lt;=Painel!$B$2,'Despesas e Custos'!$B39,0)</f>
        <v>42000</v>
      </c>
      <c r="U39" s="4">
        <f>IF(U$36&lt;=Painel!$B$2,'Despesas e Custos'!$B39,0)</f>
        <v>42000</v>
      </c>
      <c r="V39" s="4">
        <f>IF(V$36&lt;=Painel!$B$2,'Despesas e Custos'!$B39,0)</f>
        <v>42000</v>
      </c>
      <c r="W39" s="4">
        <f>IF(W$36&lt;=Painel!$B$2,'Despesas e Custos'!$B39,0)</f>
        <v>42000</v>
      </c>
      <c r="X39" s="4">
        <f>IF(X$36&lt;=Painel!$B$2,'Despesas e Custos'!$B39,0)</f>
        <v>42000</v>
      </c>
      <c r="Y39" s="4">
        <f>IF(Y$36&lt;=Painel!$B$2,'Despesas e Custos'!$B39,0)</f>
        <v>42000</v>
      </c>
      <c r="Z39" s="4">
        <f>IF(Z$36&lt;=Painel!$B$2,'Despesas e Custos'!$B39,0)</f>
        <v>42000</v>
      </c>
      <c r="AA39" s="4">
        <f>IF(AA$36&lt;=Painel!$B$2,'Despesas e Custos'!$B39,0)</f>
        <v>42000</v>
      </c>
      <c r="AB39" s="4">
        <f>IF(AB$36&lt;=Painel!$B$2,'Despesas e Custos'!$B39,0)</f>
        <v>42000</v>
      </c>
      <c r="AC39" s="4">
        <f>IF(AC$36&lt;=Painel!$B$2,'Despesas e Custos'!$B39,0)</f>
        <v>42000</v>
      </c>
      <c r="AD39" s="4">
        <f>IF(AD$36&lt;=Painel!$B$2,'Despesas e Custos'!$B39,0)</f>
        <v>42000</v>
      </c>
      <c r="AE39" s="4">
        <f>IF(AE$36&lt;=Painel!$B$2,'Despesas e Custos'!$B39,0)</f>
        <v>42000</v>
      </c>
      <c r="AF39" s="4">
        <f>IF(AF$36&lt;=Painel!$B$2,'Despesas e Custos'!$B39,0)</f>
        <v>42000</v>
      </c>
      <c r="AG39" s="4">
        <f>IF(AG$36&lt;=Painel!$B$2,'Despesas e Custos'!$B39,0)</f>
        <v>42000</v>
      </c>
      <c r="AH39" s="4">
        <f>IF(AH$36&lt;=Painel!$B$2,'Despesas e Custos'!$B39,0)</f>
        <v>42000</v>
      </c>
      <c r="AI39" s="4">
        <f>IF(AI$36&lt;=Painel!$B$2,'Despesas e Custos'!$B39,0)</f>
        <v>42000</v>
      </c>
      <c r="AJ39" s="4">
        <f>IF(AJ$36&lt;=Painel!$B$2,'Despesas e Custos'!$B39,0)</f>
        <v>42000</v>
      </c>
      <c r="AK39" s="4">
        <f>IF(AK$36&lt;=Painel!$B$2,'Despesas e Custos'!$B39,0)</f>
        <v>42000</v>
      </c>
      <c r="AL39" s="4">
        <f>IF(AL$36&lt;=Painel!$B$2,'Despesas e Custos'!$B39,0)</f>
        <v>42000</v>
      </c>
      <c r="AM39" s="4">
        <f>IF(AM$36&lt;=Painel!$B$2,'Despesas e Custos'!$B39,0)</f>
        <v>42000</v>
      </c>
      <c r="AN39" s="4">
        <f>IF(AN$36&lt;=Painel!$B$2,'Despesas e Custos'!$B39,0)</f>
        <v>42000</v>
      </c>
      <c r="AO39" s="4">
        <f>IF(AO$36&lt;=Painel!$B$2,'Despesas e Custos'!$B39,0)</f>
        <v>42000</v>
      </c>
      <c r="AP39" s="4">
        <f>IF(AP$36&lt;=Painel!$B$2,'Despesas e Custos'!$B39,0)</f>
        <v>42000</v>
      </c>
      <c r="AQ39" s="4">
        <f>IF(AQ$36&lt;=Painel!$B$2,'Despesas e Custos'!$B39,0)</f>
        <v>42000</v>
      </c>
      <c r="AR39" s="4">
        <f>IF(AR$36&lt;=Painel!$B$2,'Despesas e Custos'!$B39,0)</f>
        <v>42000</v>
      </c>
      <c r="AS39" s="4">
        <f>IF(AS$36&lt;=Painel!$B$2,'Despesas e Custos'!$B39,0)</f>
        <v>42000</v>
      </c>
      <c r="AT39" s="4">
        <f>IF(AT$36&lt;=Painel!$B$2,'Despesas e Custos'!$B39,0)</f>
        <v>42000</v>
      </c>
      <c r="AU39" s="4">
        <f>IF(AU$36&lt;=Painel!$B$2,'Despesas e Custos'!$B39,0)</f>
        <v>42000</v>
      </c>
      <c r="AV39" s="4">
        <f>IF(AV$36&lt;=Painel!$B$2,'Despesas e Custos'!$B39,0)</f>
        <v>42000</v>
      </c>
      <c r="AW39" s="4">
        <f>IF(AW$36&lt;=Painel!$B$2,'Despesas e Custos'!$B39,0)</f>
        <v>42000</v>
      </c>
      <c r="AX39" s="4">
        <f>IF(AX$36&lt;=Painel!$B$2,'Despesas e Custos'!$B39,0)</f>
        <v>42000</v>
      </c>
      <c r="AY39" s="4">
        <f>IF(AY$36&lt;=Painel!$B$2,'Despesas e Custos'!$B39,0)</f>
        <v>42000</v>
      </c>
      <c r="AZ39" s="4">
        <f>IF(AZ$36&lt;=Painel!$B$2,'Despesas e Custos'!$B39,0)</f>
        <v>42000</v>
      </c>
      <c r="BA39" s="4">
        <f>IF(BA$36&lt;=Painel!$B$2,'Despesas e Custos'!$B39,0)</f>
        <v>42000</v>
      </c>
    </row>
    <row r="40" spans="1:54" x14ac:dyDescent="0.35">
      <c r="A40" t="str">
        <f t="shared" si="2"/>
        <v>Caminhão Pipa</v>
      </c>
      <c r="B40" s="4">
        <f t="shared" si="3"/>
        <v>7000</v>
      </c>
      <c r="C40" s="4">
        <f t="shared" si="4"/>
        <v>336000</v>
      </c>
      <c r="D40" s="4">
        <f t="shared" si="5"/>
        <v>7000</v>
      </c>
      <c r="F40" s="4">
        <f>IF(F$36&lt;=Painel!$B$2,'Despesas e Custos'!$B40,0)</f>
        <v>7000</v>
      </c>
      <c r="G40" s="4">
        <f>IF(G$36&lt;=Painel!$B$2,'Despesas e Custos'!$B40,0)</f>
        <v>7000</v>
      </c>
      <c r="H40" s="4">
        <f>IF(H$36&lt;=Painel!$B$2,'Despesas e Custos'!$B40,0)</f>
        <v>7000</v>
      </c>
      <c r="I40" s="4">
        <f>IF(I$36&lt;=Painel!$B$2,'Despesas e Custos'!$B40,0)</f>
        <v>7000</v>
      </c>
      <c r="J40" s="4">
        <f>IF(J$36&lt;=Painel!$B$2,'Despesas e Custos'!$B40,0)</f>
        <v>7000</v>
      </c>
      <c r="K40" s="4">
        <f>IF(K$36&lt;=Painel!$B$2,'Despesas e Custos'!$B40,0)</f>
        <v>7000</v>
      </c>
      <c r="L40" s="4">
        <f>IF(L$36&lt;=Painel!$B$2,'Despesas e Custos'!$B40,0)</f>
        <v>7000</v>
      </c>
      <c r="M40" s="4">
        <f>IF(M$36&lt;=Painel!$B$2,'Despesas e Custos'!$B40,0)</f>
        <v>7000</v>
      </c>
      <c r="N40" s="4">
        <f>IF(N$36&lt;=Painel!$B$2,'Despesas e Custos'!$B40,0)</f>
        <v>7000</v>
      </c>
      <c r="O40" s="4">
        <f>IF(O$36&lt;=Painel!$B$2,'Despesas e Custos'!$B40,0)</f>
        <v>7000</v>
      </c>
      <c r="P40" s="4">
        <f>IF(P$36&lt;=Painel!$B$2,'Despesas e Custos'!$B40,0)</f>
        <v>7000</v>
      </c>
      <c r="Q40" s="4">
        <f>IF(Q$36&lt;=Painel!$B$2,'Despesas e Custos'!$B40,0)</f>
        <v>7000</v>
      </c>
      <c r="R40" s="4">
        <f>IF(R$36&lt;=Painel!$B$2,'Despesas e Custos'!$B40,0)</f>
        <v>7000</v>
      </c>
      <c r="S40" s="4">
        <f>IF(S$36&lt;=Painel!$B$2,'Despesas e Custos'!$B40,0)</f>
        <v>7000</v>
      </c>
      <c r="T40" s="4">
        <f>IF(T$36&lt;=Painel!$B$2,'Despesas e Custos'!$B40,0)</f>
        <v>7000</v>
      </c>
      <c r="U40" s="4">
        <f>IF(U$36&lt;=Painel!$B$2,'Despesas e Custos'!$B40,0)</f>
        <v>7000</v>
      </c>
      <c r="V40" s="4">
        <f>IF(V$36&lt;=Painel!$B$2,'Despesas e Custos'!$B40,0)</f>
        <v>7000</v>
      </c>
      <c r="W40" s="4">
        <f>IF(W$36&lt;=Painel!$B$2,'Despesas e Custos'!$B40,0)</f>
        <v>7000</v>
      </c>
      <c r="X40" s="4">
        <f>IF(X$36&lt;=Painel!$B$2,'Despesas e Custos'!$B40,0)</f>
        <v>7000</v>
      </c>
      <c r="Y40" s="4">
        <f>IF(Y$36&lt;=Painel!$B$2,'Despesas e Custos'!$B40,0)</f>
        <v>7000</v>
      </c>
      <c r="Z40" s="4">
        <f>IF(Z$36&lt;=Painel!$B$2,'Despesas e Custos'!$B40,0)</f>
        <v>7000</v>
      </c>
      <c r="AA40" s="4">
        <f>IF(AA$36&lt;=Painel!$B$2,'Despesas e Custos'!$B40,0)</f>
        <v>7000</v>
      </c>
      <c r="AB40" s="4">
        <f>IF(AB$36&lt;=Painel!$B$2,'Despesas e Custos'!$B40,0)</f>
        <v>7000</v>
      </c>
      <c r="AC40" s="4">
        <f>IF(AC$36&lt;=Painel!$B$2,'Despesas e Custos'!$B40,0)</f>
        <v>7000</v>
      </c>
      <c r="AD40" s="4">
        <f>IF(AD$36&lt;=Painel!$B$2,'Despesas e Custos'!$B40,0)</f>
        <v>7000</v>
      </c>
      <c r="AE40" s="4">
        <f>IF(AE$36&lt;=Painel!$B$2,'Despesas e Custos'!$B40,0)</f>
        <v>7000</v>
      </c>
      <c r="AF40" s="4">
        <f>IF(AF$36&lt;=Painel!$B$2,'Despesas e Custos'!$B40,0)</f>
        <v>7000</v>
      </c>
      <c r="AG40" s="4">
        <f>IF(AG$36&lt;=Painel!$B$2,'Despesas e Custos'!$B40,0)</f>
        <v>7000</v>
      </c>
      <c r="AH40" s="4">
        <f>IF(AH$36&lt;=Painel!$B$2,'Despesas e Custos'!$B40,0)</f>
        <v>7000</v>
      </c>
      <c r="AI40" s="4">
        <f>IF(AI$36&lt;=Painel!$B$2,'Despesas e Custos'!$B40,0)</f>
        <v>7000</v>
      </c>
      <c r="AJ40" s="4">
        <f>IF(AJ$36&lt;=Painel!$B$2,'Despesas e Custos'!$B40,0)</f>
        <v>7000</v>
      </c>
      <c r="AK40" s="4">
        <f>IF(AK$36&lt;=Painel!$B$2,'Despesas e Custos'!$B40,0)</f>
        <v>7000</v>
      </c>
      <c r="AL40" s="4">
        <f>IF(AL$36&lt;=Painel!$B$2,'Despesas e Custos'!$B40,0)</f>
        <v>7000</v>
      </c>
      <c r="AM40" s="4">
        <f>IF(AM$36&lt;=Painel!$B$2,'Despesas e Custos'!$B40,0)</f>
        <v>7000</v>
      </c>
      <c r="AN40" s="4">
        <f>IF(AN$36&lt;=Painel!$B$2,'Despesas e Custos'!$B40,0)</f>
        <v>7000</v>
      </c>
      <c r="AO40" s="4">
        <f>IF(AO$36&lt;=Painel!$B$2,'Despesas e Custos'!$B40,0)</f>
        <v>7000</v>
      </c>
      <c r="AP40" s="4">
        <f>IF(AP$36&lt;=Painel!$B$2,'Despesas e Custos'!$B40,0)</f>
        <v>7000</v>
      </c>
      <c r="AQ40" s="4">
        <f>IF(AQ$36&lt;=Painel!$B$2,'Despesas e Custos'!$B40,0)</f>
        <v>7000</v>
      </c>
      <c r="AR40" s="4">
        <f>IF(AR$36&lt;=Painel!$B$2,'Despesas e Custos'!$B40,0)</f>
        <v>7000</v>
      </c>
      <c r="AS40" s="4">
        <f>IF(AS$36&lt;=Painel!$B$2,'Despesas e Custos'!$B40,0)</f>
        <v>7000</v>
      </c>
      <c r="AT40" s="4">
        <f>IF(AT$36&lt;=Painel!$B$2,'Despesas e Custos'!$B40,0)</f>
        <v>7000</v>
      </c>
      <c r="AU40" s="4">
        <f>IF(AU$36&lt;=Painel!$B$2,'Despesas e Custos'!$B40,0)</f>
        <v>7000</v>
      </c>
      <c r="AV40" s="4">
        <f>IF(AV$36&lt;=Painel!$B$2,'Despesas e Custos'!$B40,0)</f>
        <v>7000</v>
      </c>
      <c r="AW40" s="4">
        <f>IF(AW$36&lt;=Painel!$B$2,'Despesas e Custos'!$B40,0)</f>
        <v>7000</v>
      </c>
      <c r="AX40" s="4">
        <f>IF(AX$36&lt;=Painel!$B$2,'Despesas e Custos'!$B40,0)</f>
        <v>7000</v>
      </c>
      <c r="AY40" s="4">
        <f>IF(AY$36&lt;=Painel!$B$2,'Despesas e Custos'!$B40,0)</f>
        <v>7000</v>
      </c>
      <c r="AZ40" s="4">
        <f>IF(AZ$36&lt;=Painel!$B$2,'Despesas e Custos'!$B40,0)</f>
        <v>7000</v>
      </c>
      <c r="BA40" s="4">
        <f>IF(BA$36&lt;=Painel!$B$2,'Despesas e Custos'!$B40,0)</f>
        <v>7000</v>
      </c>
    </row>
    <row r="41" spans="1:54" x14ac:dyDescent="0.35">
      <c r="A41" t="str">
        <f t="shared" si="2"/>
        <v>Utilidades</v>
      </c>
      <c r="B41" s="4">
        <f t="shared" si="3"/>
        <v>18154.16</v>
      </c>
      <c r="C41" s="4">
        <f t="shared" si="4"/>
        <v>871399.68000000028</v>
      </c>
      <c r="D41" s="4">
        <f t="shared" si="5"/>
        <v>18154.160000000007</v>
      </c>
      <c r="F41" s="4">
        <f>IF(F$36&lt;=Painel!$B$2,'Despesas e Custos'!$B41,0)</f>
        <v>18154.16</v>
      </c>
      <c r="G41" s="4">
        <f>IF(G$36&lt;=Painel!$B$2,'Despesas e Custos'!$B41,0)</f>
        <v>18154.16</v>
      </c>
      <c r="H41" s="4">
        <f>IF(H$36&lt;=Painel!$B$2,'Despesas e Custos'!$B41,0)</f>
        <v>18154.16</v>
      </c>
      <c r="I41" s="4">
        <f>IF(I$36&lt;=Painel!$B$2,'Despesas e Custos'!$B41,0)</f>
        <v>18154.16</v>
      </c>
      <c r="J41" s="4">
        <f>IF(J$36&lt;=Painel!$B$2,'Despesas e Custos'!$B41,0)</f>
        <v>18154.16</v>
      </c>
      <c r="K41" s="4">
        <f>IF(K$36&lt;=Painel!$B$2,'Despesas e Custos'!$B41,0)</f>
        <v>18154.16</v>
      </c>
      <c r="L41" s="4">
        <f>IF(L$36&lt;=Painel!$B$2,'Despesas e Custos'!$B41,0)</f>
        <v>18154.16</v>
      </c>
      <c r="M41" s="4">
        <f>IF(M$36&lt;=Painel!$B$2,'Despesas e Custos'!$B41,0)</f>
        <v>18154.16</v>
      </c>
      <c r="N41" s="4">
        <f>IF(N$36&lt;=Painel!$B$2,'Despesas e Custos'!$B41,0)</f>
        <v>18154.16</v>
      </c>
      <c r="O41" s="4">
        <f>IF(O$36&lt;=Painel!$B$2,'Despesas e Custos'!$B41,0)</f>
        <v>18154.16</v>
      </c>
      <c r="P41" s="4">
        <f>IF(P$36&lt;=Painel!$B$2,'Despesas e Custos'!$B41,0)</f>
        <v>18154.16</v>
      </c>
      <c r="Q41" s="4">
        <f>IF(Q$36&lt;=Painel!$B$2,'Despesas e Custos'!$B41,0)</f>
        <v>18154.16</v>
      </c>
      <c r="R41" s="4">
        <f>IF(R$36&lt;=Painel!$B$2,'Despesas e Custos'!$B41,0)</f>
        <v>18154.16</v>
      </c>
      <c r="S41" s="4">
        <f>IF(S$36&lt;=Painel!$B$2,'Despesas e Custos'!$B41,0)</f>
        <v>18154.16</v>
      </c>
      <c r="T41" s="4">
        <f>IF(T$36&lt;=Painel!$B$2,'Despesas e Custos'!$B41,0)</f>
        <v>18154.16</v>
      </c>
      <c r="U41" s="4">
        <f>IF(U$36&lt;=Painel!$B$2,'Despesas e Custos'!$B41,0)</f>
        <v>18154.16</v>
      </c>
      <c r="V41" s="4">
        <f>IF(V$36&lt;=Painel!$B$2,'Despesas e Custos'!$B41,0)</f>
        <v>18154.16</v>
      </c>
      <c r="W41" s="4">
        <f>IF(W$36&lt;=Painel!$B$2,'Despesas e Custos'!$B41,0)</f>
        <v>18154.16</v>
      </c>
      <c r="X41" s="4">
        <f>IF(X$36&lt;=Painel!$B$2,'Despesas e Custos'!$B41,0)</f>
        <v>18154.16</v>
      </c>
      <c r="Y41" s="4">
        <f>IF(Y$36&lt;=Painel!$B$2,'Despesas e Custos'!$B41,0)</f>
        <v>18154.16</v>
      </c>
      <c r="Z41" s="4">
        <f>IF(Z$36&lt;=Painel!$B$2,'Despesas e Custos'!$B41,0)</f>
        <v>18154.16</v>
      </c>
      <c r="AA41" s="4">
        <f>IF(AA$36&lt;=Painel!$B$2,'Despesas e Custos'!$B41,0)</f>
        <v>18154.16</v>
      </c>
      <c r="AB41" s="4">
        <f>IF(AB$36&lt;=Painel!$B$2,'Despesas e Custos'!$B41,0)</f>
        <v>18154.16</v>
      </c>
      <c r="AC41" s="4">
        <f>IF(AC$36&lt;=Painel!$B$2,'Despesas e Custos'!$B41,0)</f>
        <v>18154.16</v>
      </c>
      <c r="AD41" s="4">
        <f>IF(AD$36&lt;=Painel!$B$2,'Despesas e Custos'!$B41,0)</f>
        <v>18154.16</v>
      </c>
      <c r="AE41" s="4">
        <f>IF(AE$36&lt;=Painel!$B$2,'Despesas e Custos'!$B41,0)</f>
        <v>18154.16</v>
      </c>
      <c r="AF41" s="4">
        <f>IF(AF$36&lt;=Painel!$B$2,'Despesas e Custos'!$B41,0)</f>
        <v>18154.16</v>
      </c>
      <c r="AG41" s="4">
        <f>IF(AG$36&lt;=Painel!$B$2,'Despesas e Custos'!$B41,0)</f>
        <v>18154.16</v>
      </c>
      <c r="AH41" s="4">
        <f>IF(AH$36&lt;=Painel!$B$2,'Despesas e Custos'!$B41,0)</f>
        <v>18154.16</v>
      </c>
      <c r="AI41" s="4">
        <f>IF(AI$36&lt;=Painel!$B$2,'Despesas e Custos'!$B41,0)</f>
        <v>18154.16</v>
      </c>
      <c r="AJ41" s="4">
        <f>IF(AJ$36&lt;=Painel!$B$2,'Despesas e Custos'!$B41,0)</f>
        <v>18154.16</v>
      </c>
      <c r="AK41" s="4">
        <f>IF(AK$36&lt;=Painel!$B$2,'Despesas e Custos'!$B41,0)</f>
        <v>18154.16</v>
      </c>
      <c r="AL41" s="4">
        <f>IF(AL$36&lt;=Painel!$B$2,'Despesas e Custos'!$B41,0)</f>
        <v>18154.16</v>
      </c>
      <c r="AM41" s="4">
        <f>IF(AM$36&lt;=Painel!$B$2,'Despesas e Custos'!$B41,0)</f>
        <v>18154.16</v>
      </c>
      <c r="AN41" s="4">
        <f>IF(AN$36&lt;=Painel!$B$2,'Despesas e Custos'!$B41,0)</f>
        <v>18154.16</v>
      </c>
      <c r="AO41" s="4">
        <f>IF(AO$36&lt;=Painel!$B$2,'Despesas e Custos'!$B41,0)</f>
        <v>18154.16</v>
      </c>
      <c r="AP41" s="4">
        <f>IF(AP$36&lt;=Painel!$B$2,'Despesas e Custos'!$B41,0)</f>
        <v>18154.16</v>
      </c>
      <c r="AQ41" s="4">
        <f>IF(AQ$36&lt;=Painel!$B$2,'Despesas e Custos'!$B41,0)</f>
        <v>18154.16</v>
      </c>
      <c r="AR41" s="4">
        <f>IF(AR$36&lt;=Painel!$B$2,'Despesas e Custos'!$B41,0)</f>
        <v>18154.16</v>
      </c>
      <c r="AS41" s="4">
        <f>IF(AS$36&lt;=Painel!$B$2,'Despesas e Custos'!$B41,0)</f>
        <v>18154.16</v>
      </c>
      <c r="AT41" s="4">
        <f>IF(AT$36&lt;=Painel!$B$2,'Despesas e Custos'!$B41,0)</f>
        <v>18154.16</v>
      </c>
      <c r="AU41" s="4">
        <f>IF(AU$36&lt;=Painel!$B$2,'Despesas e Custos'!$B41,0)</f>
        <v>18154.16</v>
      </c>
      <c r="AV41" s="4">
        <f>IF(AV$36&lt;=Painel!$B$2,'Despesas e Custos'!$B41,0)</f>
        <v>18154.16</v>
      </c>
      <c r="AW41" s="4">
        <f>IF(AW$36&lt;=Painel!$B$2,'Despesas e Custos'!$B41,0)</f>
        <v>18154.16</v>
      </c>
      <c r="AX41" s="4">
        <f>IF(AX$36&lt;=Painel!$B$2,'Despesas e Custos'!$B41,0)</f>
        <v>18154.16</v>
      </c>
      <c r="AY41" s="4">
        <f>IF(AY$36&lt;=Painel!$B$2,'Despesas e Custos'!$B41,0)</f>
        <v>18154.16</v>
      </c>
      <c r="AZ41" s="4">
        <f>IF(AZ$36&lt;=Painel!$B$2,'Despesas e Custos'!$B41,0)</f>
        <v>18154.16</v>
      </c>
      <c r="BA41" s="4">
        <f>IF(BA$36&lt;=Painel!$B$2,'Despesas e Custos'!$B41,0)</f>
        <v>18154.16</v>
      </c>
    </row>
    <row r="43" spans="1:54" x14ac:dyDescent="0.35">
      <c r="C43" s="18">
        <f>SUM(C37:C41)</f>
        <v>20050063.559999991</v>
      </c>
      <c r="D43" s="18">
        <f>SUM(D37:D41)</f>
        <v>417709.65749999986</v>
      </c>
      <c r="E43" s="17"/>
      <c r="F43" s="16">
        <f>SUM(F37:F41)</f>
        <v>318945.59499999997</v>
      </c>
      <c r="G43" s="16">
        <f t="shared" ref="G43:BA43" si="6">SUM(G37:G41)</f>
        <v>318945.59499999997</v>
      </c>
      <c r="H43" s="16">
        <f t="shared" si="6"/>
        <v>318945.59499999997</v>
      </c>
      <c r="I43" s="16">
        <f t="shared" si="6"/>
        <v>318945.59499999997</v>
      </c>
      <c r="J43" s="16">
        <f t="shared" si="6"/>
        <v>318945.59499999997</v>
      </c>
      <c r="K43" s="16">
        <f t="shared" si="6"/>
        <v>318945.59499999997</v>
      </c>
      <c r="L43" s="16">
        <f t="shared" si="6"/>
        <v>318945.59499999997</v>
      </c>
      <c r="M43" s="16">
        <f t="shared" si="6"/>
        <v>318945.59499999997</v>
      </c>
      <c r="N43" s="16">
        <f t="shared" si="6"/>
        <v>437462.46999999991</v>
      </c>
      <c r="O43" s="16">
        <f t="shared" si="6"/>
        <v>437462.46999999991</v>
      </c>
      <c r="P43" s="16">
        <f t="shared" si="6"/>
        <v>437462.46999999991</v>
      </c>
      <c r="Q43" s="16">
        <f t="shared" si="6"/>
        <v>437462.46999999991</v>
      </c>
      <c r="R43" s="16">
        <f t="shared" si="6"/>
        <v>437462.46999999991</v>
      </c>
      <c r="S43" s="16">
        <f t="shared" si="6"/>
        <v>437462.46999999991</v>
      </c>
      <c r="T43" s="16">
        <f t="shared" si="6"/>
        <v>437462.46999999991</v>
      </c>
      <c r="U43" s="16">
        <f t="shared" si="6"/>
        <v>437462.46999999991</v>
      </c>
      <c r="V43" s="16">
        <f t="shared" si="6"/>
        <v>437462.46999999991</v>
      </c>
      <c r="W43" s="16">
        <f t="shared" si="6"/>
        <v>437462.46999999991</v>
      </c>
      <c r="X43" s="16">
        <f t="shared" si="6"/>
        <v>437462.46999999991</v>
      </c>
      <c r="Y43" s="16">
        <f t="shared" si="6"/>
        <v>437462.46999999991</v>
      </c>
      <c r="Z43" s="16">
        <f t="shared" si="6"/>
        <v>437462.46999999991</v>
      </c>
      <c r="AA43" s="16">
        <f t="shared" si="6"/>
        <v>437462.46999999991</v>
      </c>
      <c r="AB43" s="16">
        <f t="shared" si="6"/>
        <v>437462.46999999991</v>
      </c>
      <c r="AC43" s="16">
        <f t="shared" si="6"/>
        <v>437462.46999999991</v>
      </c>
      <c r="AD43" s="16">
        <f t="shared" si="6"/>
        <v>437462.46999999991</v>
      </c>
      <c r="AE43" s="16">
        <f t="shared" si="6"/>
        <v>437462.46999999991</v>
      </c>
      <c r="AF43" s="16">
        <f t="shared" si="6"/>
        <v>437462.46999999991</v>
      </c>
      <c r="AG43" s="16">
        <f t="shared" si="6"/>
        <v>437462.46999999991</v>
      </c>
      <c r="AH43" s="16">
        <f t="shared" si="6"/>
        <v>437462.46999999991</v>
      </c>
      <c r="AI43" s="16">
        <f t="shared" si="6"/>
        <v>437462.46999999991</v>
      </c>
      <c r="AJ43" s="16">
        <f t="shared" si="6"/>
        <v>437462.46999999991</v>
      </c>
      <c r="AK43" s="16">
        <f t="shared" si="6"/>
        <v>437462.46999999991</v>
      </c>
      <c r="AL43" s="16">
        <f t="shared" si="6"/>
        <v>437462.46999999991</v>
      </c>
      <c r="AM43" s="16">
        <f t="shared" si="6"/>
        <v>437462.46999999991</v>
      </c>
      <c r="AN43" s="16">
        <f t="shared" si="6"/>
        <v>437462.46999999991</v>
      </c>
      <c r="AO43" s="16">
        <f t="shared" si="6"/>
        <v>437462.46999999991</v>
      </c>
      <c r="AP43" s="16">
        <f t="shared" si="6"/>
        <v>437462.46999999991</v>
      </c>
      <c r="AQ43" s="16">
        <f t="shared" si="6"/>
        <v>437462.46999999991</v>
      </c>
      <c r="AR43" s="16">
        <f t="shared" si="6"/>
        <v>437462.46999999991</v>
      </c>
      <c r="AS43" s="16">
        <f t="shared" si="6"/>
        <v>437462.46999999991</v>
      </c>
      <c r="AT43" s="16">
        <f t="shared" si="6"/>
        <v>437462.46999999991</v>
      </c>
      <c r="AU43" s="16">
        <f t="shared" si="6"/>
        <v>437462.46999999991</v>
      </c>
      <c r="AV43" s="16">
        <f t="shared" si="6"/>
        <v>437462.46999999991</v>
      </c>
      <c r="AW43" s="16">
        <f t="shared" si="6"/>
        <v>437462.46999999991</v>
      </c>
      <c r="AX43" s="16">
        <f t="shared" si="6"/>
        <v>437462.46999999991</v>
      </c>
      <c r="AY43" s="16">
        <f t="shared" si="6"/>
        <v>437462.46999999991</v>
      </c>
      <c r="AZ43" s="16">
        <f t="shared" si="6"/>
        <v>437462.46999999991</v>
      </c>
      <c r="BA43" s="16">
        <f t="shared" si="6"/>
        <v>437462.46999999991</v>
      </c>
      <c r="BB43" s="3"/>
    </row>
  </sheetData>
  <mergeCells count="1">
    <mergeCell ref="J1:M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E993-2B98-41F3-82AD-CE559EB21EC5}">
  <dimension ref="A2:AY21"/>
  <sheetViews>
    <sheetView topLeftCell="A10" workbookViewId="0">
      <selection activeCell="B21" sqref="B21"/>
    </sheetView>
  </sheetViews>
  <sheetFormatPr defaultRowHeight="14.5" x14ac:dyDescent="0.35"/>
  <cols>
    <col min="1" max="1" width="9" bestFit="1" customWidth="1"/>
    <col min="2" max="2" width="12.7265625" bestFit="1" customWidth="1"/>
    <col min="3" max="3" width="9.26953125" bestFit="1" customWidth="1"/>
    <col min="4" max="4" width="7.1796875" bestFit="1" customWidth="1"/>
    <col min="5" max="5" width="12.7265625" bestFit="1" customWidth="1"/>
    <col min="6" max="8" width="10.7265625" bestFit="1" customWidth="1"/>
    <col min="9" max="12" width="11.7265625" bestFit="1" customWidth="1"/>
    <col min="13" max="51" width="7.1796875" bestFit="1" customWidth="1"/>
  </cols>
  <sheetData>
    <row r="2" spans="1:51" x14ac:dyDescent="0.35">
      <c r="A2" s="1" t="s">
        <v>80</v>
      </c>
      <c r="B2" t="s">
        <v>72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</row>
    <row r="3" spans="1:51" x14ac:dyDescent="0.35">
      <c r="A3" s="17" t="s">
        <v>87</v>
      </c>
      <c r="B3" s="1">
        <v>4</v>
      </c>
      <c r="C3" s="1">
        <v>20</v>
      </c>
      <c r="D3" s="1">
        <v>242.7</v>
      </c>
      <c r="E3" s="4">
        <f>C3*D3*B3</f>
        <v>19416</v>
      </c>
      <c r="F3" s="1">
        <v>3</v>
      </c>
      <c r="G3" s="8">
        <v>4</v>
      </c>
      <c r="H3" s="8">
        <f>G3+F3-1</f>
        <v>6</v>
      </c>
    </row>
    <row r="4" spans="1:51" x14ac:dyDescent="0.35">
      <c r="A4" s="17" t="s">
        <v>88</v>
      </c>
      <c r="B4" s="1">
        <v>6</v>
      </c>
      <c r="C4" s="1">
        <v>12</v>
      </c>
      <c r="D4" s="1">
        <v>1456.2</v>
      </c>
      <c r="E4" s="4">
        <f>C4*D4*B4</f>
        <v>104846.40000000001</v>
      </c>
      <c r="F4" s="1">
        <v>6</v>
      </c>
      <c r="G4" s="1">
        <v>4</v>
      </c>
      <c r="H4" s="8">
        <f>G4+F4-1</f>
        <v>9</v>
      </c>
    </row>
    <row r="5" spans="1:51" x14ac:dyDescent="0.35">
      <c r="A5" s="17" t="s">
        <v>89</v>
      </c>
      <c r="B5" s="1">
        <v>12</v>
      </c>
      <c r="C5" s="1">
        <v>1</v>
      </c>
      <c r="D5" s="1">
        <v>150</v>
      </c>
      <c r="E5" s="4">
        <f>B5*C5*D5</f>
        <v>1800</v>
      </c>
      <c r="F5" s="1">
        <v>6</v>
      </c>
      <c r="G5" s="1"/>
      <c r="H5" s="1"/>
    </row>
    <row r="6" spans="1:51" x14ac:dyDescent="0.35">
      <c r="A6" s="17" t="s">
        <v>90</v>
      </c>
      <c r="B6" s="1">
        <v>6</v>
      </c>
      <c r="C6" s="1">
        <v>1</v>
      </c>
      <c r="D6" s="1">
        <v>1200</v>
      </c>
      <c r="E6" s="4">
        <f>B6*C6*D6</f>
        <v>7200</v>
      </c>
      <c r="F6" s="1">
        <v>6</v>
      </c>
      <c r="G6" s="1"/>
      <c r="H6" s="1"/>
    </row>
    <row r="7" spans="1:51" x14ac:dyDescent="0.35">
      <c r="A7" s="17" t="s">
        <v>91</v>
      </c>
      <c r="B7" s="1">
        <v>1</v>
      </c>
      <c r="C7" s="1">
        <v>1</v>
      </c>
      <c r="D7" s="1">
        <v>3000</v>
      </c>
      <c r="E7" s="4">
        <f>B7*C7*D7</f>
        <v>3000</v>
      </c>
      <c r="F7" s="1">
        <v>6</v>
      </c>
      <c r="G7" s="1"/>
      <c r="H7" s="1"/>
    </row>
    <row r="8" spans="1:51" x14ac:dyDescent="0.35">
      <c r="A8" s="17" t="s">
        <v>92</v>
      </c>
      <c r="B8" s="1">
        <v>18</v>
      </c>
      <c r="C8" s="1">
        <v>1</v>
      </c>
      <c r="D8" s="1">
        <v>850</v>
      </c>
      <c r="E8" s="4">
        <f>B8*C8*D8</f>
        <v>15300</v>
      </c>
      <c r="F8" s="1">
        <v>6</v>
      </c>
      <c r="G8" s="1"/>
      <c r="H8" s="1"/>
    </row>
    <row r="10" spans="1:51" x14ac:dyDescent="0.35">
      <c r="C10" s="45" t="s">
        <v>93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51" s="17" customFormat="1" x14ac:dyDescent="0.35">
      <c r="C11" s="17" t="s">
        <v>28</v>
      </c>
      <c r="D11" s="13">
        <v>1</v>
      </c>
      <c r="E11" s="13">
        <v>2</v>
      </c>
      <c r="F11" s="13">
        <v>3</v>
      </c>
      <c r="G11" s="13">
        <v>4</v>
      </c>
      <c r="H11" s="13">
        <v>5</v>
      </c>
      <c r="I11" s="13">
        <v>6</v>
      </c>
      <c r="J11" s="13">
        <v>7</v>
      </c>
      <c r="K11" s="13">
        <v>8</v>
      </c>
      <c r="L11" s="13">
        <v>9</v>
      </c>
      <c r="M11" s="13">
        <v>10</v>
      </c>
      <c r="N11" s="13">
        <v>11</v>
      </c>
      <c r="O11" s="13">
        <v>12</v>
      </c>
      <c r="P11" s="13">
        <v>13</v>
      </c>
      <c r="Q11" s="13">
        <v>14</v>
      </c>
      <c r="R11" s="13">
        <v>15</v>
      </c>
      <c r="S11" s="13">
        <v>16</v>
      </c>
      <c r="T11" s="13">
        <v>17</v>
      </c>
      <c r="U11" s="13">
        <v>18</v>
      </c>
      <c r="V11" s="13">
        <v>19</v>
      </c>
      <c r="W11" s="13">
        <v>20</v>
      </c>
      <c r="X11" s="13">
        <v>21</v>
      </c>
      <c r="Y11" s="13">
        <v>22</v>
      </c>
      <c r="Z11" s="13">
        <v>23</v>
      </c>
      <c r="AA11" s="13">
        <v>24</v>
      </c>
      <c r="AB11" s="13">
        <v>25</v>
      </c>
      <c r="AC11" s="13">
        <v>26</v>
      </c>
      <c r="AD11" s="13">
        <v>27</v>
      </c>
      <c r="AE11" s="13">
        <v>28</v>
      </c>
      <c r="AF11" s="13">
        <v>29</v>
      </c>
      <c r="AG11" s="13">
        <v>30</v>
      </c>
      <c r="AH11" s="13">
        <v>31</v>
      </c>
      <c r="AI11" s="13">
        <v>32</v>
      </c>
      <c r="AJ11" s="13">
        <v>33</v>
      </c>
      <c r="AK11" s="13">
        <v>34</v>
      </c>
      <c r="AL11" s="13">
        <v>35</v>
      </c>
      <c r="AM11" s="13">
        <v>36</v>
      </c>
      <c r="AN11" s="13">
        <v>37</v>
      </c>
      <c r="AO11" s="13">
        <v>38</v>
      </c>
      <c r="AP11" s="13">
        <v>39</v>
      </c>
      <c r="AQ11" s="13">
        <v>40</v>
      </c>
      <c r="AR11" s="13">
        <v>41</v>
      </c>
      <c r="AS11" s="13">
        <v>42</v>
      </c>
      <c r="AT11" s="13">
        <v>43</v>
      </c>
      <c r="AU11" s="13">
        <v>44</v>
      </c>
      <c r="AV11" s="13">
        <v>45</v>
      </c>
      <c r="AW11" s="13">
        <v>46</v>
      </c>
      <c r="AX11" s="13">
        <v>47</v>
      </c>
      <c r="AY11" s="13">
        <v>48</v>
      </c>
    </row>
    <row r="13" spans="1:51" x14ac:dyDescent="0.35">
      <c r="A13" t="s">
        <v>80</v>
      </c>
      <c r="B13" t="s">
        <v>83</v>
      </c>
    </row>
    <row r="14" spans="1:51" x14ac:dyDescent="0.35">
      <c r="A14" s="17" t="str">
        <f>A3</f>
        <v>Sanitário</v>
      </c>
      <c r="B14" s="4">
        <f>E3</f>
        <v>19416</v>
      </c>
      <c r="C14" s="1">
        <f>F3</f>
        <v>3</v>
      </c>
      <c r="D14" s="3">
        <f t="shared" ref="D14:AY14" si="0">IF(AND($F$3&lt;=D$11,$H$3&gt;=D$11),$E$3/$G$3,0)</f>
        <v>0</v>
      </c>
      <c r="E14" s="3">
        <f t="shared" si="0"/>
        <v>0</v>
      </c>
      <c r="F14" s="3">
        <f t="shared" si="0"/>
        <v>4854</v>
      </c>
      <c r="G14" s="3">
        <f t="shared" si="0"/>
        <v>4854</v>
      </c>
      <c r="H14" s="3">
        <f t="shared" si="0"/>
        <v>4854</v>
      </c>
      <c r="I14" s="3">
        <f t="shared" si="0"/>
        <v>4854</v>
      </c>
      <c r="J14" s="3">
        <f t="shared" si="0"/>
        <v>0</v>
      </c>
      <c r="K14" s="3">
        <f t="shared" si="0"/>
        <v>0</v>
      </c>
      <c r="L14" s="3">
        <f t="shared" si="0"/>
        <v>0</v>
      </c>
      <c r="M14" s="3">
        <f t="shared" si="0"/>
        <v>0</v>
      </c>
      <c r="N14" s="3">
        <f t="shared" si="0"/>
        <v>0</v>
      </c>
      <c r="O14" s="3">
        <f t="shared" si="0"/>
        <v>0</v>
      </c>
      <c r="P14" s="3">
        <f t="shared" si="0"/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0</v>
      </c>
      <c r="Y14" s="3">
        <f t="shared" si="0"/>
        <v>0</v>
      </c>
      <c r="Z14" s="3">
        <f t="shared" si="0"/>
        <v>0</v>
      </c>
      <c r="AA14" s="3">
        <f t="shared" si="0"/>
        <v>0</v>
      </c>
      <c r="AB14" s="3">
        <f t="shared" si="0"/>
        <v>0</v>
      </c>
      <c r="AC14" s="3">
        <f t="shared" si="0"/>
        <v>0</v>
      </c>
      <c r="AD14" s="3">
        <f t="shared" si="0"/>
        <v>0</v>
      </c>
      <c r="AE14" s="3">
        <f t="shared" si="0"/>
        <v>0</v>
      </c>
      <c r="AF14" s="3">
        <f t="shared" si="0"/>
        <v>0</v>
      </c>
      <c r="AG14" s="3">
        <f t="shared" si="0"/>
        <v>0</v>
      </c>
      <c r="AH14" s="3">
        <f t="shared" si="0"/>
        <v>0</v>
      </c>
      <c r="AI14" s="3">
        <f t="shared" si="0"/>
        <v>0</v>
      </c>
      <c r="AJ14" s="3">
        <f t="shared" si="0"/>
        <v>0</v>
      </c>
      <c r="AK14" s="3">
        <f t="shared" si="0"/>
        <v>0</v>
      </c>
      <c r="AL14" s="3">
        <f t="shared" si="0"/>
        <v>0</v>
      </c>
      <c r="AM14" s="3">
        <f t="shared" si="0"/>
        <v>0</v>
      </c>
      <c r="AN14" s="3">
        <f t="shared" si="0"/>
        <v>0</v>
      </c>
      <c r="AO14" s="3">
        <f t="shared" si="0"/>
        <v>0</v>
      </c>
      <c r="AP14" s="3">
        <f t="shared" si="0"/>
        <v>0</v>
      </c>
      <c r="AQ14" s="3">
        <f t="shared" si="0"/>
        <v>0</v>
      </c>
      <c r="AR14" s="3">
        <f t="shared" si="0"/>
        <v>0</v>
      </c>
      <c r="AS14" s="3">
        <f t="shared" si="0"/>
        <v>0</v>
      </c>
      <c r="AT14" s="3">
        <f t="shared" si="0"/>
        <v>0</v>
      </c>
      <c r="AU14" s="3">
        <f t="shared" si="0"/>
        <v>0</v>
      </c>
      <c r="AV14" s="3">
        <f t="shared" si="0"/>
        <v>0</v>
      </c>
      <c r="AW14" s="3">
        <f t="shared" si="0"/>
        <v>0</v>
      </c>
      <c r="AX14" s="3">
        <f t="shared" si="0"/>
        <v>0</v>
      </c>
      <c r="AY14" s="3">
        <f t="shared" si="0"/>
        <v>0</v>
      </c>
    </row>
    <row r="15" spans="1:51" x14ac:dyDescent="0.35">
      <c r="A15" s="17" t="str">
        <f t="shared" ref="A15:A19" si="1">A4</f>
        <v>Portaria</v>
      </c>
      <c r="B15" s="4">
        <f t="shared" ref="B15:B19" si="2">E4</f>
        <v>104846.40000000001</v>
      </c>
      <c r="C15" s="1">
        <f t="shared" ref="C15:C19" si="3">F4</f>
        <v>6</v>
      </c>
      <c r="D15" s="3">
        <f>IF(AND($F$4&lt;=D$11,$H$4&gt;=D$11),$E$4/$G$4,0)</f>
        <v>0</v>
      </c>
      <c r="E15" s="3">
        <f t="shared" ref="E15:AY15" si="4">IF(AND($F$4&lt;=E$11,$H$4&gt;=E$11),$E$4/$G$4,0)</f>
        <v>0</v>
      </c>
      <c r="F15" s="3">
        <f t="shared" si="4"/>
        <v>0</v>
      </c>
      <c r="G15" s="3">
        <f t="shared" si="4"/>
        <v>0</v>
      </c>
      <c r="H15" s="3">
        <f t="shared" si="4"/>
        <v>0</v>
      </c>
      <c r="I15" s="3">
        <f t="shared" si="4"/>
        <v>26211.600000000002</v>
      </c>
      <c r="J15" s="3">
        <f t="shared" si="4"/>
        <v>26211.600000000002</v>
      </c>
      <c r="K15" s="3">
        <f t="shared" si="4"/>
        <v>26211.600000000002</v>
      </c>
      <c r="L15" s="3">
        <f t="shared" si="4"/>
        <v>26211.600000000002</v>
      </c>
      <c r="M15" s="3">
        <f t="shared" si="4"/>
        <v>0</v>
      </c>
      <c r="N15" s="3">
        <f t="shared" si="4"/>
        <v>0</v>
      </c>
      <c r="O15" s="3">
        <f t="shared" si="4"/>
        <v>0</v>
      </c>
      <c r="P15" s="3">
        <f t="shared" si="4"/>
        <v>0</v>
      </c>
      <c r="Q15" s="3">
        <f t="shared" si="4"/>
        <v>0</v>
      </c>
      <c r="R15" s="3">
        <f t="shared" si="4"/>
        <v>0</v>
      </c>
      <c r="S15" s="3">
        <f t="shared" si="4"/>
        <v>0</v>
      </c>
      <c r="T15" s="3">
        <f t="shared" si="4"/>
        <v>0</v>
      </c>
      <c r="U15" s="3">
        <f t="shared" si="4"/>
        <v>0</v>
      </c>
      <c r="V15" s="3">
        <f t="shared" si="4"/>
        <v>0</v>
      </c>
      <c r="W15" s="3">
        <f t="shared" si="4"/>
        <v>0</v>
      </c>
      <c r="X15" s="3">
        <f t="shared" si="4"/>
        <v>0</v>
      </c>
      <c r="Y15" s="3">
        <f t="shared" si="4"/>
        <v>0</v>
      </c>
      <c r="Z15" s="3">
        <f t="shared" si="4"/>
        <v>0</v>
      </c>
      <c r="AA15" s="3">
        <f t="shared" si="4"/>
        <v>0</v>
      </c>
      <c r="AB15" s="3">
        <f t="shared" si="4"/>
        <v>0</v>
      </c>
      <c r="AC15" s="3">
        <f t="shared" si="4"/>
        <v>0</v>
      </c>
      <c r="AD15" s="3">
        <f t="shared" si="4"/>
        <v>0</v>
      </c>
      <c r="AE15" s="3">
        <f t="shared" si="4"/>
        <v>0</v>
      </c>
      <c r="AF15" s="3">
        <f t="shared" si="4"/>
        <v>0</v>
      </c>
      <c r="AG15" s="3">
        <f t="shared" si="4"/>
        <v>0</v>
      </c>
      <c r="AH15" s="3">
        <f t="shared" si="4"/>
        <v>0</v>
      </c>
      <c r="AI15" s="3">
        <f t="shared" si="4"/>
        <v>0</v>
      </c>
      <c r="AJ15" s="3">
        <f t="shared" si="4"/>
        <v>0</v>
      </c>
      <c r="AK15" s="3">
        <f t="shared" si="4"/>
        <v>0</v>
      </c>
      <c r="AL15" s="3">
        <f t="shared" si="4"/>
        <v>0</v>
      </c>
      <c r="AM15" s="3">
        <f t="shared" si="4"/>
        <v>0</v>
      </c>
      <c r="AN15" s="3">
        <f t="shared" si="4"/>
        <v>0</v>
      </c>
      <c r="AO15" s="3">
        <f t="shared" si="4"/>
        <v>0</v>
      </c>
      <c r="AP15" s="3">
        <f t="shared" si="4"/>
        <v>0</v>
      </c>
      <c r="AQ15" s="3">
        <f t="shared" si="4"/>
        <v>0</v>
      </c>
      <c r="AR15" s="3">
        <f t="shared" si="4"/>
        <v>0</v>
      </c>
      <c r="AS15" s="3">
        <f t="shared" si="4"/>
        <v>0</v>
      </c>
      <c r="AT15" s="3">
        <f t="shared" si="4"/>
        <v>0</v>
      </c>
      <c r="AU15" s="3">
        <f t="shared" si="4"/>
        <v>0</v>
      </c>
      <c r="AV15" s="3">
        <f t="shared" si="4"/>
        <v>0</v>
      </c>
      <c r="AW15" s="3">
        <f t="shared" si="4"/>
        <v>0</v>
      </c>
      <c r="AX15" s="3">
        <f t="shared" si="4"/>
        <v>0</v>
      </c>
      <c r="AY15" s="3">
        <f t="shared" si="4"/>
        <v>0</v>
      </c>
    </row>
    <row r="16" spans="1:51" x14ac:dyDescent="0.35">
      <c r="A16" s="17" t="str">
        <f t="shared" si="1"/>
        <v>Cameras</v>
      </c>
      <c r="B16" s="4">
        <f t="shared" si="2"/>
        <v>1800</v>
      </c>
      <c r="C16" s="1">
        <f t="shared" si="3"/>
        <v>6</v>
      </c>
      <c r="D16" s="3">
        <f>IF($F$5=D$11,$E$5,0)</f>
        <v>0</v>
      </c>
      <c r="E16" s="3">
        <f t="shared" ref="E16:AY16" si="5">IF($F$5=E$11,$E$5,0)</f>
        <v>0</v>
      </c>
      <c r="F16" s="3">
        <f t="shared" si="5"/>
        <v>0</v>
      </c>
      <c r="G16" s="3">
        <f t="shared" si="5"/>
        <v>0</v>
      </c>
      <c r="H16" s="3">
        <f t="shared" si="5"/>
        <v>0</v>
      </c>
      <c r="I16" s="3">
        <f t="shared" si="5"/>
        <v>1800</v>
      </c>
      <c r="J16" s="3">
        <f t="shared" si="5"/>
        <v>0</v>
      </c>
      <c r="K16" s="3">
        <f t="shared" si="5"/>
        <v>0</v>
      </c>
      <c r="L16" s="3">
        <f t="shared" si="5"/>
        <v>0</v>
      </c>
      <c r="M16" s="3">
        <f t="shared" si="5"/>
        <v>0</v>
      </c>
      <c r="N16" s="3">
        <f t="shared" si="5"/>
        <v>0</v>
      </c>
      <c r="O16" s="3">
        <f t="shared" si="5"/>
        <v>0</v>
      </c>
      <c r="P16" s="3">
        <f t="shared" si="5"/>
        <v>0</v>
      </c>
      <c r="Q16" s="3">
        <f t="shared" si="5"/>
        <v>0</v>
      </c>
      <c r="R16" s="3">
        <f t="shared" si="5"/>
        <v>0</v>
      </c>
      <c r="S16" s="3">
        <f t="shared" si="5"/>
        <v>0</v>
      </c>
      <c r="T16" s="3">
        <f t="shared" si="5"/>
        <v>0</v>
      </c>
      <c r="U16" s="3">
        <f t="shared" si="5"/>
        <v>0</v>
      </c>
      <c r="V16" s="3">
        <f t="shared" si="5"/>
        <v>0</v>
      </c>
      <c r="W16" s="3">
        <f t="shared" si="5"/>
        <v>0</v>
      </c>
      <c r="X16" s="3">
        <f t="shared" si="5"/>
        <v>0</v>
      </c>
      <c r="Y16" s="3">
        <f t="shared" si="5"/>
        <v>0</v>
      </c>
      <c r="Z16" s="3">
        <f t="shared" si="5"/>
        <v>0</v>
      </c>
      <c r="AA16" s="3">
        <f t="shared" si="5"/>
        <v>0</v>
      </c>
      <c r="AB16" s="3">
        <f t="shared" si="5"/>
        <v>0</v>
      </c>
      <c r="AC16" s="3">
        <f t="shared" si="5"/>
        <v>0</v>
      </c>
      <c r="AD16" s="3">
        <f t="shared" si="5"/>
        <v>0</v>
      </c>
      <c r="AE16" s="3">
        <f t="shared" si="5"/>
        <v>0</v>
      </c>
      <c r="AF16" s="3">
        <f t="shared" si="5"/>
        <v>0</v>
      </c>
      <c r="AG16" s="3">
        <f t="shared" si="5"/>
        <v>0</v>
      </c>
      <c r="AH16" s="3">
        <f t="shared" si="5"/>
        <v>0</v>
      </c>
      <c r="AI16" s="3">
        <f t="shared" si="5"/>
        <v>0</v>
      </c>
      <c r="AJ16" s="3">
        <f t="shared" si="5"/>
        <v>0</v>
      </c>
      <c r="AK16" s="3">
        <f t="shared" si="5"/>
        <v>0</v>
      </c>
      <c r="AL16" s="3">
        <f t="shared" si="5"/>
        <v>0</v>
      </c>
      <c r="AM16" s="3">
        <f t="shared" si="5"/>
        <v>0</v>
      </c>
      <c r="AN16" s="3">
        <f t="shared" si="5"/>
        <v>0</v>
      </c>
      <c r="AO16" s="3">
        <f t="shared" si="5"/>
        <v>0</v>
      </c>
      <c r="AP16" s="3">
        <f t="shared" si="5"/>
        <v>0</v>
      </c>
      <c r="AQ16" s="3">
        <f t="shared" si="5"/>
        <v>0</v>
      </c>
      <c r="AR16" s="3">
        <f t="shared" si="5"/>
        <v>0</v>
      </c>
      <c r="AS16" s="3">
        <f t="shared" si="5"/>
        <v>0</v>
      </c>
      <c r="AT16" s="3">
        <f t="shared" si="5"/>
        <v>0</v>
      </c>
      <c r="AU16" s="3">
        <f t="shared" si="5"/>
        <v>0</v>
      </c>
      <c r="AV16" s="3">
        <f t="shared" si="5"/>
        <v>0</v>
      </c>
      <c r="AW16" s="3">
        <f t="shared" si="5"/>
        <v>0</v>
      </c>
      <c r="AX16" s="3">
        <f t="shared" si="5"/>
        <v>0</v>
      </c>
      <c r="AY16" s="3">
        <f t="shared" si="5"/>
        <v>0</v>
      </c>
    </row>
    <row r="17" spans="1:51" x14ac:dyDescent="0.35">
      <c r="A17" s="17" t="str">
        <f t="shared" si="1"/>
        <v>TV</v>
      </c>
      <c r="B17" s="4">
        <f t="shared" si="2"/>
        <v>7200</v>
      </c>
      <c r="C17" s="1">
        <f t="shared" si="3"/>
        <v>6</v>
      </c>
      <c r="D17" s="3">
        <f>IF($F6=D$11,$E6,0)</f>
        <v>0</v>
      </c>
      <c r="E17" s="3">
        <f t="shared" ref="E17:AY17" si="6">IF($F6=E$11,$E6,0)</f>
        <v>0</v>
      </c>
      <c r="F17" s="3">
        <f t="shared" si="6"/>
        <v>0</v>
      </c>
      <c r="G17" s="3">
        <f t="shared" si="6"/>
        <v>0</v>
      </c>
      <c r="H17" s="3">
        <f t="shared" si="6"/>
        <v>0</v>
      </c>
      <c r="I17" s="3">
        <f t="shared" si="6"/>
        <v>7200</v>
      </c>
      <c r="J17" s="3">
        <f t="shared" si="6"/>
        <v>0</v>
      </c>
      <c r="K17" s="3">
        <f t="shared" si="6"/>
        <v>0</v>
      </c>
      <c r="L17" s="3">
        <f t="shared" si="6"/>
        <v>0</v>
      </c>
      <c r="M17" s="3">
        <f t="shared" si="6"/>
        <v>0</v>
      </c>
      <c r="N17" s="3">
        <f t="shared" si="6"/>
        <v>0</v>
      </c>
      <c r="O17" s="3">
        <f t="shared" si="6"/>
        <v>0</v>
      </c>
      <c r="P17" s="3">
        <f t="shared" si="6"/>
        <v>0</v>
      </c>
      <c r="Q17" s="3">
        <f t="shared" si="6"/>
        <v>0</v>
      </c>
      <c r="R17" s="3">
        <f t="shared" si="6"/>
        <v>0</v>
      </c>
      <c r="S17" s="3">
        <f t="shared" si="6"/>
        <v>0</v>
      </c>
      <c r="T17" s="3">
        <f t="shared" si="6"/>
        <v>0</v>
      </c>
      <c r="U17" s="3">
        <f t="shared" si="6"/>
        <v>0</v>
      </c>
      <c r="V17" s="3">
        <f t="shared" si="6"/>
        <v>0</v>
      </c>
      <c r="W17" s="3">
        <f t="shared" si="6"/>
        <v>0</v>
      </c>
      <c r="X17" s="3">
        <f t="shared" si="6"/>
        <v>0</v>
      </c>
      <c r="Y17" s="3">
        <f t="shared" si="6"/>
        <v>0</v>
      </c>
      <c r="Z17" s="3">
        <f t="shared" si="6"/>
        <v>0</v>
      </c>
      <c r="AA17" s="3">
        <f t="shared" si="6"/>
        <v>0</v>
      </c>
      <c r="AB17" s="3">
        <f t="shared" si="6"/>
        <v>0</v>
      </c>
      <c r="AC17" s="3">
        <f t="shared" si="6"/>
        <v>0</v>
      </c>
      <c r="AD17" s="3">
        <f t="shared" si="6"/>
        <v>0</v>
      </c>
      <c r="AE17" s="3">
        <f t="shared" si="6"/>
        <v>0</v>
      </c>
      <c r="AF17" s="3">
        <f t="shared" si="6"/>
        <v>0</v>
      </c>
      <c r="AG17" s="3">
        <f t="shared" si="6"/>
        <v>0</v>
      </c>
      <c r="AH17" s="3">
        <f t="shared" si="6"/>
        <v>0</v>
      </c>
      <c r="AI17" s="3">
        <f t="shared" si="6"/>
        <v>0</v>
      </c>
      <c r="AJ17" s="3">
        <f t="shared" si="6"/>
        <v>0</v>
      </c>
      <c r="AK17" s="3">
        <f t="shared" si="6"/>
        <v>0</v>
      </c>
      <c r="AL17" s="3">
        <f t="shared" si="6"/>
        <v>0</v>
      </c>
      <c r="AM17" s="3">
        <f t="shared" si="6"/>
        <v>0</v>
      </c>
      <c r="AN17" s="3">
        <f t="shared" si="6"/>
        <v>0</v>
      </c>
      <c r="AO17" s="3">
        <f t="shared" si="6"/>
        <v>0</v>
      </c>
      <c r="AP17" s="3">
        <f t="shared" si="6"/>
        <v>0</v>
      </c>
      <c r="AQ17" s="3">
        <f t="shared" si="6"/>
        <v>0</v>
      </c>
      <c r="AR17" s="3">
        <f t="shared" si="6"/>
        <v>0</v>
      </c>
      <c r="AS17" s="3">
        <f t="shared" si="6"/>
        <v>0</v>
      </c>
      <c r="AT17" s="3">
        <f t="shared" si="6"/>
        <v>0</v>
      </c>
      <c r="AU17" s="3">
        <f t="shared" si="6"/>
        <v>0</v>
      </c>
      <c r="AV17" s="3">
        <f t="shared" si="6"/>
        <v>0</v>
      </c>
      <c r="AW17" s="3">
        <f t="shared" si="6"/>
        <v>0</v>
      </c>
      <c r="AX17" s="3">
        <f t="shared" si="6"/>
        <v>0</v>
      </c>
      <c r="AY17" s="3">
        <f t="shared" si="6"/>
        <v>0</v>
      </c>
    </row>
    <row r="18" spans="1:51" x14ac:dyDescent="0.35">
      <c r="A18" s="17" t="str">
        <f t="shared" si="1"/>
        <v>HD</v>
      </c>
      <c r="B18" s="4">
        <f t="shared" si="2"/>
        <v>3000</v>
      </c>
      <c r="C18" s="1">
        <f t="shared" si="3"/>
        <v>6</v>
      </c>
      <c r="D18" s="3">
        <f>IF($F7=D$11,$E7,0)</f>
        <v>0</v>
      </c>
      <c r="E18" s="3">
        <f t="shared" ref="E18:AY18" si="7">IF($F7=E$11,$E7,0)</f>
        <v>0</v>
      </c>
      <c r="F18" s="3">
        <f t="shared" si="7"/>
        <v>0</v>
      </c>
      <c r="G18" s="3">
        <f t="shared" si="7"/>
        <v>0</v>
      </c>
      <c r="H18" s="3">
        <f t="shared" si="7"/>
        <v>0</v>
      </c>
      <c r="I18" s="3">
        <f t="shared" si="7"/>
        <v>3000</v>
      </c>
      <c r="J18" s="3">
        <f t="shared" si="7"/>
        <v>0</v>
      </c>
      <c r="K18" s="3">
        <f t="shared" si="7"/>
        <v>0</v>
      </c>
      <c r="L18" s="3">
        <f t="shared" si="7"/>
        <v>0</v>
      </c>
      <c r="M18" s="3">
        <f t="shared" si="7"/>
        <v>0</v>
      </c>
      <c r="N18" s="3">
        <f t="shared" si="7"/>
        <v>0</v>
      </c>
      <c r="O18" s="3">
        <f t="shared" si="7"/>
        <v>0</v>
      </c>
      <c r="P18" s="3">
        <f t="shared" si="7"/>
        <v>0</v>
      </c>
      <c r="Q18" s="3">
        <f t="shared" si="7"/>
        <v>0</v>
      </c>
      <c r="R18" s="3">
        <f t="shared" si="7"/>
        <v>0</v>
      </c>
      <c r="S18" s="3">
        <f t="shared" si="7"/>
        <v>0</v>
      </c>
      <c r="T18" s="3">
        <f t="shared" si="7"/>
        <v>0</v>
      </c>
      <c r="U18" s="3">
        <f t="shared" si="7"/>
        <v>0</v>
      </c>
      <c r="V18" s="3">
        <f t="shared" si="7"/>
        <v>0</v>
      </c>
      <c r="W18" s="3">
        <f t="shared" si="7"/>
        <v>0</v>
      </c>
      <c r="X18" s="3">
        <f t="shared" si="7"/>
        <v>0</v>
      </c>
      <c r="Y18" s="3">
        <f t="shared" si="7"/>
        <v>0</v>
      </c>
      <c r="Z18" s="3">
        <f t="shared" si="7"/>
        <v>0</v>
      </c>
      <c r="AA18" s="3">
        <f t="shared" si="7"/>
        <v>0</v>
      </c>
      <c r="AB18" s="3">
        <f t="shared" si="7"/>
        <v>0</v>
      </c>
      <c r="AC18" s="3">
        <f t="shared" si="7"/>
        <v>0</v>
      </c>
      <c r="AD18" s="3">
        <f t="shared" si="7"/>
        <v>0</v>
      </c>
      <c r="AE18" s="3">
        <f t="shared" si="7"/>
        <v>0</v>
      </c>
      <c r="AF18" s="3">
        <f t="shared" si="7"/>
        <v>0</v>
      </c>
      <c r="AG18" s="3">
        <f t="shared" si="7"/>
        <v>0</v>
      </c>
      <c r="AH18" s="3">
        <f t="shared" si="7"/>
        <v>0</v>
      </c>
      <c r="AI18" s="3">
        <f t="shared" si="7"/>
        <v>0</v>
      </c>
      <c r="AJ18" s="3">
        <f t="shared" si="7"/>
        <v>0</v>
      </c>
      <c r="AK18" s="3">
        <f t="shared" si="7"/>
        <v>0</v>
      </c>
      <c r="AL18" s="3">
        <f t="shared" si="7"/>
        <v>0</v>
      </c>
      <c r="AM18" s="3">
        <f t="shared" si="7"/>
        <v>0</v>
      </c>
      <c r="AN18" s="3">
        <f t="shared" si="7"/>
        <v>0</v>
      </c>
      <c r="AO18" s="3">
        <f t="shared" si="7"/>
        <v>0</v>
      </c>
      <c r="AP18" s="3">
        <f t="shared" si="7"/>
        <v>0</v>
      </c>
      <c r="AQ18" s="3">
        <f t="shared" si="7"/>
        <v>0</v>
      </c>
      <c r="AR18" s="3">
        <f t="shared" si="7"/>
        <v>0</v>
      </c>
      <c r="AS18" s="3">
        <f t="shared" si="7"/>
        <v>0</v>
      </c>
      <c r="AT18" s="3">
        <f t="shared" si="7"/>
        <v>0</v>
      </c>
      <c r="AU18" s="3">
        <f t="shared" si="7"/>
        <v>0</v>
      </c>
      <c r="AV18" s="3">
        <f t="shared" si="7"/>
        <v>0</v>
      </c>
      <c r="AW18" s="3">
        <f t="shared" si="7"/>
        <v>0</v>
      </c>
      <c r="AX18" s="3">
        <f t="shared" si="7"/>
        <v>0</v>
      </c>
      <c r="AY18" s="3">
        <f t="shared" si="7"/>
        <v>0</v>
      </c>
    </row>
    <row r="19" spans="1:51" x14ac:dyDescent="0.35">
      <c r="A19" s="17" t="str">
        <f t="shared" si="1"/>
        <v>Roteador</v>
      </c>
      <c r="B19" s="4">
        <f t="shared" si="2"/>
        <v>15300</v>
      </c>
      <c r="C19" s="1">
        <f t="shared" si="3"/>
        <v>6</v>
      </c>
      <c r="D19" s="3">
        <f>IF($F8=D$11,$E8,0)</f>
        <v>0</v>
      </c>
      <c r="E19" s="3">
        <f t="shared" ref="E19:AY19" si="8">IF($F8=E$11,$E8,0)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15300</v>
      </c>
      <c r="J19" s="3">
        <f t="shared" si="8"/>
        <v>0</v>
      </c>
      <c r="K19" s="3">
        <f t="shared" si="8"/>
        <v>0</v>
      </c>
      <c r="L19" s="3">
        <f t="shared" si="8"/>
        <v>0</v>
      </c>
      <c r="M19" s="3">
        <f t="shared" si="8"/>
        <v>0</v>
      </c>
      <c r="N19" s="3">
        <f t="shared" si="8"/>
        <v>0</v>
      </c>
      <c r="O19" s="3">
        <f t="shared" si="8"/>
        <v>0</v>
      </c>
      <c r="P19" s="3">
        <f t="shared" si="8"/>
        <v>0</v>
      </c>
      <c r="Q19" s="3">
        <f t="shared" si="8"/>
        <v>0</v>
      </c>
      <c r="R19" s="3">
        <f t="shared" si="8"/>
        <v>0</v>
      </c>
      <c r="S19" s="3">
        <f t="shared" si="8"/>
        <v>0</v>
      </c>
      <c r="T19" s="3">
        <f t="shared" si="8"/>
        <v>0</v>
      </c>
      <c r="U19" s="3">
        <f t="shared" si="8"/>
        <v>0</v>
      </c>
      <c r="V19" s="3">
        <f t="shared" si="8"/>
        <v>0</v>
      </c>
      <c r="W19" s="3">
        <f t="shared" si="8"/>
        <v>0</v>
      </c>
      <c r="X19" s="3">
        <f t="shared" si="8"/>
        <v>0</v>
      </c>
      <c r="Y19" s="3">
        <f t="shared" si="8"/>
        <v>0</v>
      </c>
      <c r="Z19" s="3">
        <f t="shared" si="8"/>
        <v>0</v>
      </c>
      <c r="AA19" s="3">
        <f t="shared" si="8"/>
        <v>0</v>
      </c>
      <c r="AB19" s="3">
        <f t="shared" si="8"/>
        <v>0</v>
      </c>
      <c r="AC19" s="3">
        <f t="shared" si="8"/>
        <v>0</v>
      </c>
      <c r="AD19" s="3">
        <f t="shared" si="8"/>
        <v>0</v>
      </c>
      <c r="AE19" s="3">
        <f t="shared" si="8"/>
        <v>0</v>
      </c>
      <c r="AF19" s="3">
        <f t="shared" si="8"/>
        <v>0</v>
      </c>
      <c r="AG19" s="3">
        <f t="shared" si="8"/>
        <v>0</v>
      </c>
      <c r="AH19" s="3">
        <f t="shared" si="8"/>
        <v>0</v>
      </c>
      <c r="AI19" s="3">
        <f t="shared" si="8"/>
        <v>0</v>
      </c>
      <c r="AJ19" s="3">
        <f t="shared" si="8"/>
        <v>0</v>
      </c>
      <c r="AK19" s="3">
        <f t="shared" si="8"/>
        <v>0</v>
      </c>
      <c r="AL19" s="3">
        <f t="shared" si="8"/>
        <v>0</v>
      </c>
      <c r="AM19" s="3">
        <f t="shared" si="8"/>
        <v>0</v>
      </c>
      <c r="AN19" s="3">
        <f t="shared" si="8"/>
        <v>0</v>
      </c>
      <c r="AO19" s="3">
        <f t="shared" si="8"/>
        <v>0</v>
      </c>
      <c r="AP19" s="3">
        <f t="shared" si="8"/>
        <v>0</v>
      </c>
      <c r="AQ19" s="3">
        <f t="shared" si="8"/>
        <v>0</v>
      </c>
      <c r="AR19" s="3">
        <f t="shared" si="8"/>
        <v>0</v>
      </c>
      <c r="AS19" s="3">
        <f t="shared" si="8"/>
        <v>0</v>
      </c>
      <c r="AT19" s="3">
        <f t="shared" si="8"/>
        <v>0</v>
      </c>
      <c r="AU19" s="3">
        <f t="shared" si="8"/>
        <v>0</v>
      </c>
      <c r="AV19" s="3">
        <f t="shared" si="8"/>
        <v>0</v>
      </c>
      <c r="AW19" s="3">
        <f t="shared" si="8"/>
        <v>0</v>
      </c>
      <c r="AX19" s="3">
        <f t="shared" si="8"/>
        <v>0</v>
      </c>
      <c r="AY19" s="3">
        <f t="shared" si="8"/>
        <v>0</v>
      </c>
    </row>
    <row r="21" spans="1:51" x14ac:dyDescent="0.35">
      <c r="B21" s="18">
        <f>SUM(B14:B19)</f>
        <v>151562.40000000002</v>
      </c>
      <c r="C21" s="17"/>
      <c r="D21" s="18">
        <f>SUM(D14:D19)</f>
        <v>0</v>
      </c>
      <c r="E21" s="18">
        <f t="shared" ref="E21:AY21" si="9">SUM(E14:E19)</f>
        <v>0</v>
      </c>
      <c r="F21" s="18">
        <f t="shared" si="9"/>
        <v>4854</v>
      </c>
      <c r="G21" s="18">
        <f t="shared" si="9"/>
        <v>4854</v>
      </c>
      <c r="H21" s="18">
        <f t="shared" si="9"/>
        <v>4854</v>
      </c>
      <c r="I21" s="18">
        <f t="shared" si="9"/>
        <v>58365.600000000006</v>
      </c>
      <c r="J21" s="18">
        <f t="shared" si="9"/>
        <v>26211.600000000002</v>
      </c>
      <c r="K21" s="18">
        <f t="shared" si="9"/>
        <v>26211.600000000002</v>
      </c>
      <c r="L21" s="18">
        <f t="shared" si="9"/>
        <v>26211.600000000002</v>
      </c>
      <c r="M21" s="18">
        <f t="shared" si="9"/>
        <v>0</v>
      </c>
      <c r="N21" s="18">
        <f t="shared" si="9"/>
        <v>0</v>
      </c>
      <c r="O21" s="18">
        <f t="shared" si="9"/>
        <v>0</v>
      </c>
      <c r="P21" s="18">
        <f t="shared" si="9"/>
        <v>0</v>
      </c>
      <c r="Q21" s="18">
        <f t="shared" si="9"/>
        <v>0</v>
      </c>
      <c r="R21" s="18">
        <f t="shared" si="9"/>
        <v>0</v>
      </c>
      <c r="S21" s="18">
        <f t="shared" si="9"/>
        <v>0</v>
      </c>
      <c r="T21" s="18">
        <f t="shared" si="9"/>
        <v>0</v>
      </c>
      <c r="U21" s="18">
        <f t="shared" si="9"/>
        <v>0</v>
      </c>
      <c r="V21" s="18">
        <f t="shared" si="9"/>
        <v>0</v>
      </c>
      <c r="W21" s="18">
        <f t="shared" si="9"/>
        <v>0</v>
      </c>
      <c r="X21" s="18">
        <f t="shared" si="9"/>
        <v>0</v>
      </c>
      <c r="Y21" s="18">
        <f t="shared" si="9"/>
        <v>0</v>
      </c>
      <c r="Z21" s="18">
        <f t="shared" si="9"/>
        <v>0</v>
      </c>
      <c r="AA21" s="18">
        <f t="shared" si="9"/>
        <v>0</v>
      </c>
      <c r="AB21" s="18">
        <f t="shared" si="9"/>
        <v>0</v>
      </c>
      <c r="AC21" s="18">
        <f t="shared" si="9"/>
        <v>0</v>
      </c>
      <c r="AD21" s="18">
        <f t="shared" si="9"/>
        <v>0</v>
      </c>
      <c r="AE21" s="18">
        <f t="shared" si="9"/>
        <v>0</v>
      </c>
      <c r="AF21" s="18">
        <f t="shared" si="9"/>
        <v>0</v>
      </c>
      <c r="AG21" s="18">
        <f t="shared" si="9"/>
        <v>0</v>
      </c>
      <c r="AH21" s="18">
        <f t="shared" si="9"/>
        <v>0</v>
      </c>
      <c r="AI21" s="18">
        <f t="shared" si="9"/>
        <v>0</v>
      </c>
      <c r="AJ21" s="18">
        <f t="shared" si="9"/>
        <v>0</v>
      </c>
      <c r="AK21" s="18">
        <f t="shared" si="9"/>
        <v>0</v>
      </c>
      <c r="AL21" s="18">
        <f t="shared" si="9"/>
        <v>0</v>
      </c>
      <c r="AM21" s="18">
        <f t="shared" si="9"/>
        <v>0</v>
      </c>
      <c r="AN21" s="18">
        <f t="shared" si="9"/>
        <v>0</v>
      </c>
      <c r="AO21" s="18">
        <f t="shared" si="9"/>
        <v>0</v>
      </c>
      <c r="AP21" s="18">
        <f t="shared" si="9"/>
        <v>0</v>
      </c>
      <c r="AQ21" s="18">
        <f t="shared" si="9"/>
        <v>0</v>
      </c>
      <c r="AR21" s="18">
        <f t="shared" si="9"/>
        <v>0</v>
      </c>
      <c r="AS21" s="18">
        <f t="shared" si="9"/>
        <v>0</v>
      </c>
      <c r="AT21" s="18">
        <f t="shared" si="9"/>
        <v>0</v>
      </c>
      <c r="AU21" s="18">
        <f t="shared" si="9"/>
        <v>0</v>
      </c>
      <c r="AV21" s="18">
        <f t="shared" si="9"/>
        <v>0</v>
      </c>
      <c r="AW21" s="18">
        <f t="shared" si="9"/>
        <v>0</v>
      </c>
      <c r="AX21" s="18">
        <f t="shared" si="9"/>
        <v>0</v>
      </c>
      <c r="AY21" s="18">
        <f t="shared" si="9"/>
        <v>0</v>
      </c>
    </row>
  </sheetData>
  <mergeCells count="1">
    <mergeCell ref="C10:V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8B8C1-1594-4FCD-A731-F49428155D2E}">
  <dimension ref="A2:AW78"/>
  <sheetViews>
    <sheetView topLeftCell="A31" workbookViewId="0">
      <selection activeCell="D7" sqref="D7"/>
    </sheetView>
  </sheetViews>
  <sheetFormatPr defaultRowHeight="14.5" x14ac:dyDescent="0.35"/>
  <cols>
    <col min="1" max="1" width="35.1796875" bestFit="1" customWidth="1"/>
    <col min="2" max="4" width="10.54296875" bestFit="1" customWidth="1"/>
    <col min="5" max="5" width="10.7265625" bestFit="1" customWidth="1"/>
    <col min="6" max="49" width="11.7265625" bestFit="1" customWidth="1"/>
  </cols>
  <sheetData>
    <row r="2" spans="1:49" x14ac:dyDescent="0.35">
      <c r="A2" t="s">
        <v>94</v>
      </c>
      <c r="B2" s="10">
        <v>0.09</v>
      </c>
    </row>
    <row r="7" spans="1:49" x14ac:dyDescent="0.35">
      <c r="A7" t="s">
        <v>95</v>
      </c>
    </row>
    <row r="8" spans="1:49" x14ac:dyDescent="0.35">
      <c r="A8" t="s">
        <v>96</v>
      </c>
      <c r="B8" s="34">
        <f>+B15</f>
        <v>-318945.59499999997</v>
      </c>
    </row>
    <row r="9" spans="1:49" x14ac:dyDescent="0.35">
      <c r="A9" t="s">
        <v>97</v>
      </c>
      <c r="B9" s="34">
        <f>IF(B8&lt;0,-B8,0)</f>
        <v>318945.59499999997</v>
      </c>
    </row>
    <row r="10" spans="1:49" x14ac:dyDescent="0.35">
      <c r="A10" t="s">
        <v>98</v>
      </c>
      <c r="B10" s="34">
        <f>+IF(B9&gt;0,0.3*B9,0)</f>
        <v>95683.678499999995</v>
      </c>
    </row>
    <row r="12" spans="1:49" s="13" customFormat="1" x14ac:dyDescent="0.35">
      <c r="A12" s="13" t="s">
        <v>28</v>
      </c>
      <c r="B12" s="13">
        <v>1</v>
      </c>
      <c r="C12" s="13">
        <v>2</v>
      </c>
      <c r="D12" s="13">
        <v>3</v>
      </c>
      <c r="E12" s="13">
        <v>4</v>
      </c>
      <c r="F12" s="13">
        <v>5</v>
      </c>
      <c r="G12" s="13">
        <v>6</v>
      </c>
      <c r="H12" s="13">
        <v>7</v>
      </c>
      <c r="I12" s="13">
        <v>8</v>
      </c>
      <c r="J12" s="13">
        <v>9</v>
      </c>
      <c r="K12" s="13">
        <v>10</v>
      </c>
      <c r="L12" s="13">
        <v>11</v>
      </c>
      <c r="M12" s="13">
        <v>12</v>
      </c>
      <c r="N12" s="13">
        <v>13</v>
      </c>
      <c r="O12" s="13">
        <v>14</v>
      </c>
      <c r="P12" s="13">
        <v>15</v>
      </c>
      <c r="Q12" s="13">
        <v>16</v>
      </c>
      <c r="R12" s="13">
        <v>17</v>
      </c>
      <c r="S12" s="13">
        <v>18</v>
      </c>
      <c r="T12" s="13">
        <v>19</v>
      </c>
      <c r="U12" s="13">
        <v>20</v>
      </c>
      <c r="V12" s="13">
        <v>21</v>
      </c>
      <c r="W12" s="13">
        <v>22</v>
      </c>
      <c r="X12" s="13">
        <v>23</v>
      </c>
      <c r="Y12" s="13">
        <v>24</v>
      </c>
      <c r="Z12" s="13">
        <v>25</v>
      </c>
      <c r="AA12" s="13">
        <v>26</v>
      </c>
      <c r="AB12" s="13">
        <v>27</v>
      </c>
      <c r="AC12" s="13">
        <v>28</v>
      </c>
      <c r="AD12" s="13">
        <v>29</v>
      </c>
      <c r="AE12" s="13">
        <v>30</v>
      </c>
      <c r="AF12" s="13">
        <v>31</v>
      </c>
      <c r="AG12" s="13">
        <v>32</v>
      </c>
      <c r="AH12" s="13">
        <v>33</v>
      </c>
      <c r="AI12" s="13">
        <v>34</v>
      </c>
      <c r="AJ12" s="13">
        <v>35</v>
      </c>
      <c r="AK12" s="13">
        <v>36</v>
      </c>
      <c r="AL12" s="13">
        <v>37</v>
      </c>
      <c r="AM12" s="13">
        <v>38</v>
      </c>
      <c r="AN12" s="13">
        <v>39</v>
      </c>
      <c r="AO12" s="13">
        <v>40</v>
      </c>
      <c r="AP12" s="13">
        <v>41</v>
      </c>
      <c r="AQ12" s="13">
        <v>42</v>
      </c>
      <c r="AR12" s="13">
        <v>43</v>
      </c>
      <c r="AS12" s="13">
        <v>44</v>
      </c>
      <c r="AT12" s="13">
        <v>45</v>
      </c>
      <c r="AU12" s="13">
        <v>46</v>
      </c>
      <c r="AV12" s="13">
        <v>47</v>
      </c>
      <c r="AW12" s="13">
        <v>48</v>
      </c>
    </row>
    <row r="13" spans="1:49" x14ac:dyDescent="0.35">
      <c r="A13" s="39" t="s">
        <v>99</v>
      </c>
      <c r="B13" s="36"/>
      <c r="C13" s="36"/>
      <c r="D13" s="36"/>
      <c r="E13" s="36"/>
      <c r="F13" s="36"/>
      <c r="G13" s="36"/>
    </row>
    <row r="14" spans="1:49" x14ac:dyDescent="0.35">
      <c r="A14" s="37" t="s">
        <v>100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</row>
    <row r="15" spans="1:49" x14ac:dyDescent="0.35">
      <c r="A15" s="38" t="s">
        <v>101</v>
      </c>
      <c r="B15" s="34">
        <f>DRE!H13</f>
        <v>-318945.59499999997</v>
      </c>
      <c r="C15" s="34">
        <f>DRE!I13</f>
        <v>-311890.46259999997</v>
      </c>
      <c r="D15" s="34">
        <f>DRE!J13</f>
        <v>-311890.46259999997</v>
      </c>
      <c r="E15" s="34">
        <f>DRE!K13</f>
        <v>-289922.34464499995</v>
      </c>
      <c r="F15" s="34">
        <f>DRE!L13</f>
        <v>-289922.34464499995</v>
      </c>
      <c r="G15" s="34">
        <f>DRE!M13</f>
        <v>167933.74867424945</v>
      </c>
      <c r="H15" s="34">
        <f>DRE!N13</f>
        <v>167933.74867424945</v>
      </c>
      <c r="I15" s="34">
        <f>DRE!O13</f>
        <v>167933.74867424945</v>
      </c>
      <c r="J15" s="34">
        <f>DRE!P13</f>
        <v>49416.873674249509</v>
      </c>
      <c r="K15" s="34">
        <f>DRE!Q13</f>
        <v>49416.873674249509</v>
      </c>
      <c r="L15" s="34">
        <f>DRE!R13</f>
        <v>49416.873674249509</v>
      </c>
      <c r="M15" s="34">
        <f>DRE!S13</f>
        <v>49416.873674249509</v>
      </c>
      <c r="N15" s="34">
        <f>DRE!T13</f>
        <v>49416.873674249509</v>
      </c>
      <c r="O15" s="34">
        <f>DRE!U13</f>
        <v>49416.873674249509</v>
      </c>
      <c r="P15" s="34">
        <f>DRE!V13</f>
        <v>49416.873674249509</v>
      </c>
      <c r="Q15" s="34">
        <f>DRE!W13</f>
        <v>49416.873674249509</v>
      </c>
      <c r="R15" s="34">
        <f>DRE!X13</f>
        <v>49416.873674249509</v>
      </c>
      <c r="S15" s="34">
        <f>DRE!Y13</f>
        <v>49416.873674249509</v>
      </c>
      <c r="T15" s="34">
        <f>DRE!Z13</f>
        <v>49416.873674249509</v>
      </c>
      <c r="U15" s="34">
        <f>DRE!AA13</f>
        <v>49416.873674249509</v>
      </c>
      <c r="V15" s="34">
        <f>DRE!AB13</f>
        <v>49416.873674249509</v>
      </c>
      <c r="W15" s="34">
        <f>DRE!AC13</f>
        <v>49416.873674249509</v>
      </c>
      <c r="X15" s="34">
        <f>DRE!AD13</f>
        <v>49416.873674249509</v>
      </c>
      <c r="Y15" s="34">
        <f>DRE!AE13</f>
        <v>49416.873674249509</v>
      </c>
      <c r="Z15" s="34">
        <f>DRE!AF13</f>
        <v>49416.873674249509</v>
      </c>
      <c r="AA15" s="34">
        <f>DRE!AG13</f>
        <v>49416.873674249509</v>
      </c>
      <c r="AB15" s="34">
        <f>DRE!AH13</f>
        <v>49416.873674249509</v>
      </c>
      <c r="AC15" s="34">
        <f>DRE!AI13</f>
        <v>49416.873674249509</v>
      </c>
      <c r="AD15" s="34">
        <f>DRE!AJ13</f>
        <v>49416.873674249509</v>
      </c>
      <c r="AE15" s="34">
        <f>DRE!AK13</f>
        <v>49416.873674249509</v>
      </c>
      <c r="AF15" s="34">
        <f>DRE!AL13</f>
        <v>49416.873674249509</v>
      </c>
      <c r="AG15" s="34">
        <f>DRE!AM13</f>
        <v>49416.873674249509</v>
      </c>
      <c r="AH15" s="34">
        <f>DRE!AN13</f>
        <v>49416.873674249509</v>
      </c>
      <c r="AI15" s="34">
        <f>DRE!AO13</f>
        <v>49416.873674249509</v>
      </c>
      <c r="AJ15" s="34">
        <f>DRE!AP13</f>
        <v>49416.873674249509</v>
      </c>
      <c r="AK15" s="34">
        <f>DRE!AQ13</f>
        <v>49416.873674249509</v>
      </c>
      <c r="AL15" s="34">
        <f>DRE!AR13</f>
        <v>49416.873674249509</v>
      </c>
      <c r="AM15" s="34">
        <f>DRE!AS13</f>
        <v>49416.873674249509</v>
      </c>
      <c r="AN15" s="34">
        <f>DRE!AT13</f>
        <v>49416.873674249509</v>
      </c>
      <c r="AO15" s="34">
        <f>DRE!AU13</f>
        <v>49416.873674249509</v>
      </c>
      <c r="AP15" s="34">
        <f>DRE!AV13</f>
        <v>49416.873674249509</v>
      </c>
      <c r="AQ15" s="34">
        <f>DRE!AW13</f>
        <v>49416.873674249509</v>
      </c>
      <c r="AR15" s="34">
        <f>DRE!AX13</f>
        <v>49416.873674249509</v>
      </c>
      <c r="AS15" s="34">
        <f>DRE!AY13</f>
        <v>49416.873674249509</v>
      </c>
      <c r="AT15" s="34">
        <f>DRE!AZ13</f>
        <v>49416.873674249509</v>
      </c>
      <c r="AU15" s="34">
        <f>DRE!BA13</f>
        <v>49416.873674249509</v>
      </c>
      <c r="AV15" s="34">
        <f>DRE!BB13</f>
        <v>49416.873674249509</v>
      </c>
      <c r="AW15" s="34">
        <f>DRE!BC13</f>
        <v>49416.873674249509</v>
      </c>
    </row>
    <row r="16" spans="1:49" x14ac:dyDescent="0.35">
      <c r="A16" s="38"/>
      <c r="B16" s="38"/>
      <c r="C16" s="38"/>
      <c r="D16" s="38"/>
      <c r="E16" s="38"/>
      <c r="F16" s="38"/>
      <c r="G16" s="38"/>
    </row>
    <row r="17" spans="1:49" x14ac:dyDescent="0.35">
      <c r="A17" s="37" t="s">
        <v>102</v>
      </c>
      <c r="B17" s="42">
        <f>+SUM(B18:B19)</f>
        <v>0</v>
      </c>
      <c r="C17" s="42">
        <f t="shared" ref="C17:AW17" si="0">+SUM(C18:C19)</f>
        <v>0</v>
      </c>
      <c r="D17" s="42">
        <f t="shared" si="0"/>
        <v>0</v>
      </c>
      <c r="E17" s="42">
        <f t="shared" si="0"/>
        <v>0</v>
      </c>
      <c r="F17" s="42">
        <f t="shared" si="0"/>
        <v>0</v>
      </c>
      <c r="G17" s="42">
        <f t="shared" si="0"/>
        <v>0</v>
      </c>
      <c r="H17" s="42">
        <f t="shared" si="0"/>
        <v>0</v>
      </c>
      <c r="I17" s="42">
        <f t="shared" si="0"/>
        <v>0</v>
      </c>
      <c r="J17" s="42">
        <f t="shared" si="0"/>
        <v>0</v>
      </c>
      <c r="K17" s="42">
        <f t="shared" si="0"/>
        <v>0</v>
      </c>
      <c r="L17" s="42">
        <f t="shared" si="0"/>
        <v>0</v>
      </c>
      <c r="M17" s="42">
        <f t="shared" si="0"/>
        <v>0</v>
      </c>
      <c r="N17" s="42">
        <f t="shared" si="0"/>
        <v>0</v>
      </c>
      <c r="O17" s="42">
        <f t="shared" si="0"/>
        <v>0</v>
      </c>
      <c r="P17" s="42">
        <f t="shared" si="0"/>
        <v>0</v>
      </c>
      <c r="Q17" s="42">
        <f t="shared" si="0"/>
        <v>0</v>
      </c>
      <c r="R17" s="42">
        <f t="shared" si="0"/>
        <v>0</v>
      </c>
      <c r="S17" s="42">
        <f t="shared" si="0"/>
        <v>0</v>
      </c>
      <c r="T17" s="42">
        <f t="shared" si="0"/>
        <v>0</v>
      </c>
      <c r="U17" s="42">
        <f t="shared" si="0"/>
        <v>0</v>
      </c>
      <c r="V17" s="42">
        <f t="shared" si="0"/>
        <v>0</v>
      </c>
      <c r="W17" s="42">
        <f t="shared" si="0"/>
        <v>0</v>
      </c>
      <c r="X17" s="42">
        <f t="shared" si="0"/>
        <v>0</v>
      </c>
      <c r="Y17" s="42">
        <f t="shared" si="0"/>
        <v>0</v>
      </c>
      <c r="Z17" s="42">
        <f t="shared" si="0"/>
        <v>0</v>
      </c>
      <c r="AA17" s="42">
        <f t="shared" si="0"/>
        <v>0</v>
      </c>
      <c r="AB17" s="42">
        <f t="shared" si="0"/>
        <v>0</v>
      </c>
      <c r="AC17" s="42">
        <f t="shared" si="0"/>
        <v>0</v>
      </c>
      <c r="AD17" s="42">
        <f t="shared" si="0"/>
        <v>0</v>
      </c>
      <c r="AE17" s="42">
        <f t="shared" si="0"/>
        <v>0</v>
      </c>
      <c r="AF17" s="42">
        <f t="shared" si="0"/>
        <v>0</v>
      </c>
      <c r="AG17" s="42">
        <f t="shared" si="0"/>
        <v>0</v>
      </c>
      <c r="AH17" s="42">
        <f t="shared" si="0"/>
        <v>0</v>
      </c>
      <c r="AI17" s="42">
        <f t="shared" si="0"/>
        <v>0</v>
      </c>
      <c r="AJ17" s="42">
        <f t="shared" si="0"/>
        <v>0</v>
      </c>
      <c r="AK17" s="42">
        <f t="shared" si="0"/>
        <v>0</v>
      </c>
      <c r="AL17" s="42">
        <f t="shared" si="0"/>
        <v>0</v>
      </c>
      <c r="AM17" s="42">
        <f t="shared" si="0"/>
        <v>0</v>
      </c>
      <c r="AN17" s="42">
        <f t="shared" si="0"/>
        <v>0</v>
      </c>
      <c r="AO17" s="42">
        <f t="shared" si="0"/>
        <v>0</v>
      </c>
      <c r="AP17" s="42">
        <f t="shared" si="0"/>
        <v>0</v>
      </c>
      <c r="AQ17" s="42">
        <f t="shared" si="0"/>
        <v>0</v>
      </c>
      <c r="AR17" s="42">
        <f t="shared" si="0"/>
        <v>0</v>
      </c>
      <c r="AS17" s="42">
        <f t="shared" si="0"/>
        <v>0</v>
      </c>
      <c r="AT17" s="42">
        <f t="shared" si="0"/>
        <v>0</v>
      </c>
      <c r="AU17" s="42">
        <f t="shared" si="0"/>
        <v>0</v>
      </c>
      <c r="AV17" s="42">
        <f t="shared" si="0"/>
        <v>0</v>
      </c>
      <c r="AW17" s="42">
        <f t="shared" si="0"/>
        <v>0</v>
      </c>
    </row>
    <row r="18" spans="1:49" x14ac:dyDescent="0.35">
      <c r="A18" s="38" t="s">
        <v>103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</row>
    <row r="19" spans="1:49" x14ac:dyDescent="0.35">
      <c r="A19" s="38" t="s">
        <v>104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</row>
    <row r="20" spans="1:49" x14ac:dyDescent="0.35">
      <c r="A20" s="38"/>
      <c r="B20" s="38"/>
      <c r="C20" s="38"/>
      <c r="D20" s="38"/>
      <c r="E20" s="38"/>
      <c r="F20" s="38"/>
      <c r="G20" s="38"/>
    </row>
    <row r="21" spans="1:49" x14ac:dyDescent="0.35">
      <c r="A21" s="37" t="s">
        <v>105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</row>
    <row r="22" spans="1:49" x14ac:dyDescent="0.35">
      <c r="A22" s="38" t="s">
        <v>106</v>
      </c>
      <c r="B22" s="41">
        <f>+B15-B17</f>
        <v>-318945.59499999997</v>
      </c>
      <c r="C22" s="41">
        <f t="shared" ref="C22:AW22" si="1">+C15-C17</f>
        <v>-311890.46259999997</v>
      </c>
      <c r="D22" s="41">
        <f t="shared" si="1"/>
        <v>-311890.46259999997</v>
      </c>
      <c r="E22" s="41">
        <f t="shared" si="1"/>
        <v>-289922.34464499995</v>
      </c>
      <c r="F22" s="41">
        <f t="shared" si="1"/>
        <v>-289922.34464499995</v>
      </c>
      <c r="G22" s="41">
        <f t="shared" si="1"/>
        <v>167933.74867424945</v>
      </c>
      <c r="H22" s="41">
        <f t="shared" si="1"/>
        <v>167933.74867424945</v>
      </c>
      <c r="I22" s="41">
        <f t="shared" si="1"/>
        <v>167933.74867424945</v>
      </c>
      <c r="J22" s="41">
        <f t="shared" si="1"/>
        <v>49416.873674249509</v>
      </c>
      <c r="K22" s="41">
        <f t="shared" si="1"/>
        <v>49416.873674249509</v>
      </c>
      <c r="L22" s="41">
        <f t="shared" si="1"/>
        <v>49416.873674249509</v>
      </c>
      <c r="M22" s="41">
        <f t="shared" si="1"/>
        <v>49416.873674249509</v>
      </c>
      <c r="N22" s="41">
        <f t="shared" si="1"/>
        <v>49416.873674249509</v>
      </c>
      <c r="O22" s="41">
        <f t="shared" si="1"/>
        <v>49416.873674249509</v>
      </c>
      <c r="P22" s="41">
        <f t="shared" si="1"/>
        <v>49416.873674249509</v>
      </c>
      <c r="Q22" s="41">
        <f t="shared" si="1"/>
        <v>49416.873674249509</v>
      </c>
      <c r="R22" s="41">
        <f t="shared" si="1"/>
        <v>49416.873674249509</v>
      </c>
      <c r="S22" s="41">
        <f t="shared" si="1"/>
        <v>49416.873674249509</v>
      </c>
      <c r="T22" s="41">
        <f t="shared" si="1"/>
        <v>49416.873674249509</v>
      </c>
      <c r="U22" s="41">
        <f t="shared" si="1"/>
        <v>49416.873674249509</v>
      </c>
      <c r="V22" s="41">
        <f t="shared" si="1"/>
        <v>49416.873674249509</v>
      </c>
      <c r="W22" s="41">
        <f t="shared" si="1"/>
        <v>49416.873674249509</v>
      </c>
      <c r="X22" s="41">
        <f t="shared" si="1"/>
        <v>49416.873674249509</v>
      </c>
      <c r="Y22" s="41">
        <f t="shared" si="1"/>
        <v>49416.873674249509</v>
      </c>
      <c r="Z22" s="41">
        <f t="shared" si="1"/>
        <v>49416.873674249509</v>
      </c>
      <c r="AA22" s="41">
        <f t="shared" si="1"/>
        <v>49416.873674249509</v>
      </c>
      <c r="AB22" s="41">
        <f t="shared" si="1"/>
        <v>49416.873674249509</v>
      </c>
      <c r="AC22" s="41">
        <f t="shared" si="1"/>
        <v>49416.873674249509</v>
      </c>
      <c r="AD22" s="41">
        <f t="shared" si="1"/>
        <v>49416.873674249509</v>
      </c>
      <c r="AE22" s="41">
        <f t="shared" si="1"/>
        <v>49416.873674249509</v>
      </c>
      <c r="AF22" s="41">
        <f t="shared" si="1"/>
        <v>49416.873674249509</v>
      </c>
      <c r="AG22" s="41">
        <f t="shared" si="1"/>
        <v>49416.873674249509</v>
      </c>
      <c r="AH22" s="41">
        <f t="shared" si="1"/>
        <v>49416.873674249509</v>
      </c>
      <c r="AI22" s="41">
        <f t="shared" si="1"/>
        <v>49416.873674249509</v>
      </c>
      <c r="AJ22" s="41">
        <f t="shared" si="1"/>
        <v>49416.873674249509</v>
      </c>
      <c r="AK22" s="41">
        <f t="shared" si="1"/>
        <v>49416.873674249509</v>
      </c>
      <c r="AL22" s="41">
        <f t="shared" si="1"/>
        <v>49416.873674249509</v>
      </c>
      <c r="AM22" s="41">
        <f t="shared" si="1"/>
        <v>49416.873674249509</v>
      </c>
      <c r="AN22" s="41">
        <f t="shared" si="1"/>
        <v>49416.873674249509</v>
      </c>
      <c r="AO22" s="41">
        <f t="shared" si="1"/>
        <v>49416.873674249509</v>
      </c>
      <c r="AP22" s="41">
        <f t="shared" si="1"/>
        <v>49416.873674249509</v>
      </c>
      <c r="AQ22" s="41">
        <f t="shared" si="1"/>
        <v>49416.873674249509</v>
      </c>
      <c r="AR22" s="41">
        <f t="shared" si="1"/>
        <v>49416.873674249509</v>
      </c>
      <c r="AS22" s="41">
        <f t="shared" si="1"/>
        <v>49416.873674249509</v>
      </c>
      <c r="AT22" s="41">
        <f t="shared" si="1"/>
        <v>49416.873674249509</v>
      </c>
      <c r="AU22" s="41">
        <f t="shared" si="1"/>
        <v>49416.873674249509</v>
      </c>
      <c r="AV22" s="41">
        <f t="shared" si="1"/>
        <v>49416.873674249509</v>
      </c>
      <c r="AW22" s="41">
        <f t="shared" si="1"/>
        <v>49416.873674249509</v>
      </c>
    </row>
    <row r="23" spans="1:49" x14ac:dyDescent="0.35">
      <c r="A23" s="3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</row>
    <row r="24" spans="1:49" x14ac:dyDescent="0.35">
      <c r="A24" s="37" t="s">
        <v>107</v>
      </c>
      <c r="B24" s="38"/>
      <c r="C24" s="38"/>
      <c r="D24" s="38"/>
      <c r="E24" s="38"/>
      <c r="F24" s="38"/>
      <c r="G24" s="38"/>
    </row>
    <row r="25" spans="1:49" x14ac:dyDescent="0.35">
      <c r="A25" s="38" t="s">
        <v>108</v>
      </c>
      <c r="B25" s="41">
        <v>0</v>
      </c>
      <c r="C25" s="41">
        <f>+B29</f>
        <v>318945.59499999997</v>
      </c>
      <c r="D25" s="41">
        <f t="shared" ref="D25:AW25" si="2">+C29</f>
        <v>630836.05759999994</v>
      </c>
      <c r="E25" s="41">
        <f t="shared" si="2"/>
        <v>942726.52019999991</v>
      </c>
      <c r="F25" s="41">
        <f t="shared" si="2"/>
        <v>1232648.8648449997</v>
      </c>
      <c r="G25" s="41">
        <f t="shared" ref="G25:N25" si="3">+F29</f>
        <v>1522571.2094899998</v>
      </c>
      <c r="H25" s="41">
        <f t="shared" si="3"/>
        <v>1472191.0848877251</v>
      </c>
      <c r="I25" s="41">
        <f t="shared" si="3"/>
        <v>1421810.9602854503</v>
      </c>
      <c r="J25" s="41">
        <f t="shared" si="3"/>
        <v>1371430.8356831756</v>
      </c>
      <c r="K25" s="41">
        <f t="shared" si="3"/>
        <v>1356605.7735809009</v>
      </c>
      <c r="L25" s="41">
        <f t="shared" si="3"/>
        <v>1341780.7114786259</v>
      </c>
      <c r="M25" s="41">
        <f t="shared" si="3"/>
        <v>1326955.6493763509</v>
      </c>
      <c r="N25" s="41">
        <f t="shared" si="3"/>
        <v>1312130.587274076</v>
      </c>
      <c r="O25" s="41">
        <f t="shared" ref="O25:U25" si="4">+N29</f>
        <v>1297305.525171801</v>
      </c>
      <c r="P25" s="41">
        <f t="shared" si="4"/>
        <v>1282480.463069526</v>
      </c>
      <c r="Q25" s="41">
        <f t="shared" si="4"/>
        <v>1267655.400967251</v>
      </c>
      <c r="R25" s="41">
        <f t="shared" si="4"/>
        <v>1252830.3388649761</v>
      </c>
      <c r="S25" s="41">
        <f t="shared" si="4"/>
        <v>1238005.2767627011</v>
      </c>
      <c r="T25" s="41">
        <f t="shared" si="4"/>
        <v>1223180.2146604261</v>
      </c>
      <c r="U25" s="41">
        <f t="shared" si="4"/>
        <v>1208355.1525581512</v>
      </c>
      <c r="V25" s="41">
        <f t="shared" si="2"/>
        <v>1193530.0904558762</v>
      </c>
      <c r="W25" s="41">
        <f t="shared" si="2"/>
        <v>1178705.0283536012</v>
      </c>
      <c r="X25" s="41">
        <f t="shared" si="2"/>
        <v>1163879.9662513263</v>
      </c>
      <c r="Y25" s="41">
        <f t="shared" si="2"/>
        <v>1149054.9041490513</v>
      </c>
      <c r="Z25" s="41">
        <f t="shared" si="2"/>
        <v>1134229.8420467763</v>
      </c>
      <c r="AA25" s="41">
        <f t="shared" si="2"/>
        <v>1119404.7799445014</v>
      </c>
      <c r="AB25" s="41">
        <f t="shared" si="2"/>
        <v>1104579.7178422264</v>
      </c>
      <c r="AC25" s="41">
        <f t="shared" si="2"/>
        <v>1089754.6557399514</v>
      </c>
      <c r="AD25" s="41">
        <f t="shared" si="2"/>
        <v>1074929.5936376764</v>
      </c>
      <c r="AE25" s="41">
        <f t="shared" si="2"/>
        <v>1060104.5315354015</v>
      </c>
      <c r="AF25" s="41">
        <f t="shared" si="2"/>
        <v>1045279.4694331266</v>
      </c>
      <c r="AG25" s="41">
        <f t="shared" si="2"/>
        <v>1030454.4073308518</v>
      </c>
      <c r="AH25" s="41">
        <f t="shared" si="2"/>
        <v>1015629.3452285769</v>
      </c>
      <c r="AI25" s="41">
        <f t="shared" si="2"/>
        <v>1000804.2831263021</v>
      </c>
      <c r="AJ25" s="41">
        <f t="shared" si="2"/>
        <v>985979.22102402721</v>
      </c>
      <c r="AK25" s="41">
        <f t="shared" si="2"/>
        <v>971154.15892175236</v>
      </c>
      <c r="AL25" s="41">
        <f t="shared" si="2"/>
        <v>956329.09681947751</v>
      </c>
      <c r="AM25" s="41">
        <f t="shared" si="2"/>
        <v>941504.03471720265</v>
      </c>
      <c r="AN25" s="41">
        <f t="shared" si="2"/>
        <v>926678.9726149278</v>
      </c>
      <c r="AO25" s="41">
        <f t="shared" si="2"/>
        <v>911853.91051265295</v>
      </c>
      <c r="AP25" s="41">
        <f t="shared" si="2"/>
        <v>897028.84841037809</v>
      </c>
      <c r="AQ25" s="41">
        <f t="shared" si="2"/>
        <v>882203.78630810324</v>
      </c>
      <c r="AR25" s="41">
        <f t="shared" si="2"/>
        <v>867378.72420582839</v>
      </c>
      <c r="AS25" s="41">
        <f t="shared" si="2"/>
        <v>852553.66210355354</v>
      </c>
      <c r="AT25" s="41">
        <f t="shared" si="2"/>
        <v>837728.60000127868</v>
      </c>
      <c r="AU25" s="41">
        <f t="shared" si="2"/>
        <v>822903.53789900383</v>
      </c>
      <c r="AV25" s="41">
        <f t="shared" si="2"/>
        <v>808078.47579672898</v>
      </c>
      <c r="AW25" s="41">
        <f t="shared" si="2"/>
        <v>793253.41369445412</v>
      </c>
    </row>
    <row r="26" spans="1:49" x14ac:dyDescent="0.35">
      <c r="A26" s="38" t="s">
        <v>109</v>
      </c>
      <c r="B26" s="41">
        <f>+IF(B22&lt;0,-B22,0)</f>
        <v>318945.59499999997</v>
      </c>
      <c r="C26" s="41">
        <f t="shared" ref="C26:F26" si="5">+IF(C22&lt;0,-C22,0)</f>
        <v>311890.46259999997</v>
      </c>
      <c r="D26" s="41">
        <f t="shared" si="5"/>
        <v>311890.46259999997</v>
      </c>
      <c r="E26" s="41">
        <f t="shared" si="5"/>
        <v>289922.34464499995</v>
      </c>
      <c r="F26" s="41">
        <f t="shared" si="5"/>
        <v>289922.34464499995</v>
      </c>
      <c r="G26" s="41">
        <f t="shared" ref="G26:N26" si="6">+IF(G22&lt;0,-G22,0)</f>
        <v>0</v>
      </c>
      <c r="H26" s="41">
        <f t="shared" si="6"/>
        <v>0</v>
      </c>
      <c r="I26" s="41">
        <f t="shared" si="6"/>
        <v>0</v>
      </c>
      <c r="J26" s="41">
        <f t="shared" si="6"/>
        <v>0</v>
      </c>
      <c r="K26" s="41">
        <f t="shared" si="6"/>
        <v>0</v>
      </c>
      <c r="L26" s="41">
        <f t="shared" si="6"/>
        <v>0</v>
      </c>
      <c r="M26" s="41">
        <f t="shared" si="6"/>
        <v>0</v>
      </c>
      <c r="N26" s="41">
        <f t="shared" si="6"/>
        <v>0</v>
      </c>
      <c r="O26" s="41">
        <f t="shared" ref="O26:U26" si="7">+IF(O22&lt;0,-O22,0)</f>
        <v>0</v>
      </c>
      <c r="P26" s="41">
        <f t="shared" si="7"/>
        <v>0</v>
      </c>
      <c r="Q26" s="41">
        <f t="shared" si="7"/>
        <v>0</v>
      </c>
      <c r="R26" s="41">
        <f t="shared" si="7"/>
        <v>0</v>
      </c>
      <c r="S26" s="41">
        <f t="shared" si="7"/>
        <v>0</v>
      </c>
      <c r="T26" s="41">
        <f t="shared" si="7"/>
        <v>0</v>
      </c>
      <c r="U26" s="41">
        <f t="shared" si="7"/>
        <v>0</v>
      </c>
      <c r="V26" s="41">
        <f t="shared" ref="V26:AA26" si="8">+IF(V22&lt;0,-V22,0)</f>
        <v>0</v>
      </c>
      <c r="W26" s="41">
        <f t="shared" si="8"/>
        <v>0</v>
      </c>
      <c r="X26" s="41">
        <f t="shared" si="8"/>
        <v>0</v>
      </c>
      <c r="Y26" s="41">
        <f t="shared" si="8"/>
        <v>0</v>
      </c>
      <c r="Z26" s="41">
        <f t="shared" si="8"/>
        <v>0</v>
      </c>
      <c r="AA26" s="41">
        <f t="shared" si="8"/>
        <v>0</v>
      </c>
      <c r="AB26" s="41">
        <f t="shared" ref="AB26:AW26" si="9">+IF(AB22&lt;0,-AB22,0)</f>
        <v>0</v>
      </c>
      <c r="AC26" s="41">
        <f t="shared" si="9"/>
        <v>0</v>
      </c>
      <c r="AD26" s="41">
        <f t="shared" si="9"/>
        <v>0</v>
      </c>
      <c r="AE26" s="41">
        <f t="shared" si="9"/>
        <v>0</v>
      </c>
      <c r="AF26" s="41">
        <f t="shared" si="9"/>
        <v>0</v>
      </c>
      <c r="AG26" s="41">
        <f t="shared" si="9"/>
        <v>0</v>
      </c>
      <c r="AH26" s="41">
        <f t="shared" si="9"/>
        <v>0</v>
      </c>
      <c r="AI26" s="41">
        <f t="shared" si="9"/>
        <v>0</v>
      </c>
      <c r="AJ26" s="41">
        <f t="shared" si="9"/>
        <v>0</v>
      </c>
      <c r="AK26" s="41">
        <f t="shared" si="9"/>
        <v>0</v>
      </c>
      <c r="AL26" s="41">
        <f t="shared" si="9"/>
        <v>0</v>
      </c>
      <c r="AM26" s="41">
        <f t="shared" si="9"/>
        <v>0</v>
      </c>
      <c r="AN26" s="41">
        <f t="shared" si="9"/>
        <v>0</v>
      </c>
      <c r="AO26" s="41">
        <f t="shared" si="9"/>
        <v>0</v>
      </c>
      <c r="AP26" s="41">
        <f t="shared" si="9"/>
        <v>0</v>
      </c>
      <c r="AQ26" s="41">
        <f t="shared" si="9"/>
        <v>0</v>
      </c>
      <c r="AR26" s="41">
        <f t="shared" si="9"/>
        <v>0</v>
      </c>
      <c r="AS26" s="41">
        <f t="shared" si="9"/>
        <v>0</v>
      </c>
      <c r="AT26" s="41">
        <f t="shared" si="9"/>
        <v>0</v>
      </c>
      <c r="AU26" s="41">
        <f t="shared" si="9"/>
        <v>0</v>
      </c>
      <c r="AV26" s="41">
        <f t="shared" si="9"/>
        <v>0</v>
      </c>
      <c r="AW26" s="41">
        <f t="shared" si="9"/>
        <v>0</v>
      </c>
    </row>
    <row r="27" spans="1:49" x14ac:dyDescent="0.35">
      <c r="A27" s="38" t="s">
        <v>110</v>
      </c>
      <c r="B27" s="41">
        <f>0.3*MAX(B22,0)</f>
        <v>0</v>
      </c>
      <c r="C27" s="41">
        <f t="shared" ref="C27:F27" si="10">0.3*MAX(C22,0)</f>
        <v>0</v>
      </c>
      <c r="D27" s="41">
        <f t="shared" si="10"/>
        <v>0</v>
      </c>
      <c r="E27" s="41">
        <f t="shared" si="10"/>
        <v>0</v>
      </c>
      <c r="F27" s="41">
        <f t="shared" si="10"/>
        <v>0</v>
      </c>
      <c r="G27" s="41">
        <f t="shared" ref="G27:N27" si="11">0.3*MAX(G22,0)</f>
        <v>50380.124602274831</v>
      </c>
      <c r="H27" s="41">
        <f t="shared" si="11"/>
        <v>50380.124602274831</v>
      </c>
      <c r="I27" s="41">
        <f t="shared" si="11"/>
        <v>50380.124602274831</v>
      </c>
      <c r="J27" s="41">
        <f t="shared" si="11"/>
        <v>14825.062102274853</v>
      </c>
      <c r="K27" s="41">
        <f t="shared" si="11"/>
        <v>14825.062102274853</v>
      </c>
      <c r="L27" s="41">
        <f t="shared" si="11"/>
        <v>14825.062102274853</v>
      </c>
      <c r="M27" s="41">
        <f t="shared" si="11"/>
        <v>14825.062102274853</v>
      </c>
      <c r="N27" s="41">
        <f t="shared" si="11"/>
        <v>14825.062102274853</v>
      </c>
      <c r="O27" s="41">
        <f t="shared" ref="O27:U27" si="12">0.3*MAX(O22,0)</f>
        <v>14825.062102274853</v>
      </c>
      <c r="P27" s="41">
        <f t="shared" si="12"/>
        <v>14825.062102274853</v>
      </c>
      <c r="Q27" s="41">
        <f t="shared" si="12"/>
        <v>14825.062102274853</v>
      </c>
      <c r="R27" s="41">
        <f t="shared" si="12"/>
        <v>14825.062102274853</v>
      </c>
      <c r="S27" s="41">
        <f t="shared" si="12"/>
        <v>14825.062102274853</v>
      </c>
      <c r="T27" s="41">
        <f t="shared" si="12"/>
        <v>14825.062102274853</v>
      </c>
      <c r="U27" s="41">
        <f t="shared" si="12"/>
        <v>14825.062102274853</v>
      </c>
      <c r="V27" s="41">
        <f t="shared" ref="V27:AA27" si="13">0.3*MAX(V22,0)</f>
        <v>14825.062102274853</v>
      </c>
      <c r="W27" s="41">
        <f t="shared" si="13"/>
        <v>14825.062102274853</v>
      </c>
      <c r="X27" s="41">
        <f t="shared" si="13"/>
        <v>14825.062102274853</v>
      </c>
      <c r="Y27" s="41">
        <f t="shared" si="13"/>
        <v>14825.062102274853</v>
      </c>
      <c r="Z27" s="41">
        <f t="shared" si="13"/>
        <v>14825.062102274853</v>
      </c>
      <c r="AA27" s="41">
        <f t="shared" si="13"/>
        <v>14825.062102274853</v>
      </c>
      <c r="AB27" s="41">
        <f t="shared" ref="AB27:AW27" si="14">0.3*MAX(AB22,0)</f>
        <v>14825.062102274853</v>
      </c>
      <c r="AC27" s="41">
        <f t="shared" si="14"/>
        <v>14825.062102274853</v>
      </c>
      <c r="AD27" s="41">
        <f t="shared" si="14"/>
        <v>14825.062102274853</v>
      </c>
      <c r="AE27" s="41">
        <f t="shared" si="14"/>
        <v>14825.062102274853</v>
      </c>
      <c r="AF27" s="41">
        <f t="shared" si="14"/>
        <v>14825.062102274853</v>
      </c>
      <c r="AG27" s="41">
        <f t="shared" si="14"/>
        <v>14825.062102274853</v>
      </c>
      <c r="AH27" s="41">
        <f t="shared" si="14"/>
        <v>14825.062102274853</v>
      </c>
      <c r="AI27" s="41">
        <f t="shared" si="14"/>
        <v>14825.062102274853</v>
      </c>
      <c r="AJ27" s="41">
        <f t="shared" si="14"/>
        <v>14825.062102274853</v>
      </c>
      <c r="AK27" s="41">
        <f t="shared" si="14"/>
        <v>14825.062102274853</v>
      </c>
      <c r="AL27" s="41">
        <f t="shared" si="14"/>
        <v>14825.062102274853</v>
      </c>
      <c r="AM27" s="41">
        <f t="shared" si="14"/>
        <v>14825.062102274853</v>
      </c>
      <c r="AN27" s="41">
        <f t="shared" si="14"/>
        <v>14825.062102274853</v>
      </c>
      <c r="AO27" s="41">
        <f t="shared" si="14"/>
        <v>14825.062102274853</v>
      </c>
      <c r="AP27" s="41">
        <f t="shared" si="14"/>
        <v>14825.062102274853</v>
      </c>
      <c r="AQ27" s="41">
        <f t="shared" si="14"/>
        <v>14825.062102274853</v>
      </c>
      <c r="AR27" s="41">
        <f t="shared" si="14"/>
        <v>14825.062102274853</v>
      </c>
      <c r="AS27" s="41">
        <f t="shared" si="14"/>
        <v>14825.062102274853</v>
      </c>
      <c r="AT27" s="41">
        <f t="shared" si="14"/>
        <v>14825.062102274853</v>
      </c>
      <c r="AU27" s="41">
        <f t="shared" si="14"/>
        <v>14825.062102274853</v>
      </c>
      <c r="AV27" s="41">
        <f t="shared" si="14"/>
        <v>14825.062102274853</v>
      </c>
      <c r="AW27" s="41">
        <f t="shared" si="14"/>
        <v>14825.062102274853</v>
      </c>
    </row>
    <row r="28" spans="1:49" x14ac:dyDescent="0.35">
      <c r="A28" s="38" t="s">
        <v>111</v>
      </c>
      <c r="B28" s="41">
        <f>MIN(SUM(B25:B26),B27)</f>
        <v>0</v>
      </c>
      <c r="C28" s="41">
        <f t="shared" ref="C28:F28" si="15">MIN(SUM(C25:C26),C27)</f>
        <v>0</v>
      </c>
      <c r="D28" s="41">
        <f t="shared" si="15"/>
        <v>0</v>
      </c>
      <c r="E28" s="41">
        <f t="shared" si="15"/>
        <v>0</v>
      </c>
      <c r="F28" s="41">
        <f t="shared" si="15"/>
        <v>0</v>
      </c>
      <c r="G28" s="41">
        <f t="shared" ref="G28" si="16">MIN(SUM(G25:G26),G27)</f>
        <v>50380.124602274831</v>
      </c>
      <c r="H28" s="41">
        <f t="shared" ref="H28" si="17">MIN(SUM(H25:H26),H27)</f>
        <v>50380.124602274831</v>
      </c>
      <c r="I28" s="41">
        <f t="shared" ref="I28" si="18">MIN(SUM(I25:I26),I27)</f>
        <v>50380.124602274831</v>
      </c>
      <c r="J28" s="41">
        <f t="shared" ref="J28" si="19">MIN(SUM(J25:J26),J27)</f>
        <v>14825.062102274853</v>
      </c>
      <c r="K28" s="41">
        <f t="shared" ref="K28" si="20">MIN(SUM(K25:K26),K27)</f>
        <v>14825.062102274853</v>
      </c>
      <c r="L28" s="41">
        <f t="shared" ref="L28" si="21">MIN(SUM(L25:L26),L27)</f>
        <v>14825.062102274853</v>
      </c>
      <c r="M28" s="41">
        <f t="shared" ref="M28" si="22">MIN(SUM(M25:M26),M27)</f>
        <v>14825.062102274853</v>
      </c>
      <c r="N28" s="41">
        <f t="shared" ref="N28" si="23">MIN(SUM(N25:N26),N27)</f>
        <v>14825.062102274853</v>
      </c>
      <c r="O28" s="41">
        <f t="shared" ref="O28" si="24">MIN(SUM(O25:O26),O27)</f>
        <v>14825.062102274853</v>
      </c>
      <c r="P28" s="41">
        <f t="shared" ref="P28" si="25">MIN(SUM(P25:P26),P27)</f>
        <v>14825.062102274853</v>
      </c>
      <c r="Q28" s="41">
        <f t="shared" ref="Q28" si="26">MIN(SUM(Q25:Q26),Q27)</f>
        <v>14825.062102274853</v>
      </c>
      <c r="R28" s="41">
        <f t="shared" ref="R28" si="27">MIN(SUM(R25:R26),R27)</f>
        <v>14825.062102274853</v>
      </c>
      <c r="S28" s="41">
        <f t="shared" ref="S28" si="28">MIN(SUM(S25:S26),S27)</f>
        <v>14825.062102274853</v>
      </c>
      <c r="T28" s="41">
        <f t="shared" ref="T28" si="29">MIN(SUM(T25:T26),T27)</f>
        <v>14825.062102274853</v>
      </c>
      <c r="U28" s="41">
        <f t="shared" ref="U28" si="30">MIN(SUM(U25:U26),U27)</f>
        <v>14825.062102274853</v>
      </c>
      <c r="V28" s="41">
        <f t="shared" ref="V28" si="31">MIN(SUM(V25:V26),V27)</f>
        <v>14825.062102274853</v>
      </c>
      <c r="W28" s="41">
        <f t="shared" ref="W28" si="32">MIN(SUM(W25:W26),W27)</f>
        <v>14825.062102274853</v>
      </c>
      <c r="X28" s="41">
        <f t="shared" ref="X28" si="33">MIN(SUM(X25:X26),X27)</f>
        <v>14825.062102274853</v>
      </c>
      <c r="Y28" s="41">
        <f t="shared" ref="Y28" si="34">MIN(SUM(Y25:Y26),Y27)</f>
        <v>14825.062102274853</v>
      </c>
      <c r="Z28" s="41">
        <f t="shared" ref="Z28" si="35">MIN(SUM(Z25:Z26),Z27)</f>
        <v>14825.062102274853</v>
      </c>
      <c r="AA28" s="41">
        <f t="shared" ref="AA28" si="36">MIN(SUM(AA25:AA26),AA27)</f>
        <v>14825.062102274853</v>
      </c>
      <c r="AB28" s="41">
        <f t="shared" ref="AB28" si="37">MIN(SUM(AB25:AB26),AB27)</f>
        <v>14825.062102274853</v>
      </c>
      <c r="AC28" s="41">
        <f t="shared" ref="AC28" si="38">MIN(SUM(AC25:AC26),AC27)</f>
        <v>14825.062102274853</v>
      </c>
      <c r="AD28" s="41">
        <f t="shared" ref="AD28" si="39">MIN(SUM(AD25:AD26),AD27)</f>
        <v>14825.062102274853</v>
      </c>
      <c r="AE28" s="41">
        <f t="shared" ref="AE28" si="40">MIN(SUM(AE25:AE26),AE27)</f>
        <v>14825.062102274853</v>
      </c>
      <c r="AF28" s="41">
        <f t="shared" ref="AF28" si="41">MIN(SUM(AF25:AF26),AF27)</f>
        <v>14825.062102274853</v>
      </c>
      <c r="AG28" s="41">
        <f t="shared" ref="AG28" si="42">MIN(SUM(AG25:AG26),AG27)</f>
        <v>14825.062102274853</v>
      </c>
      <c r="AH28" s="41">
        <f t="shared" ref="AH28" si="43">MIN(SUM(AH25:AH26),AH27)</f>
        <v>14825.062102274853</v>
      </c>
      <c r="AI28" s="41">
        <f t="shared" ref="AI28" si="44">MIN(SUM(AI25:AI26),AI27)</f>
        <v>14825.062102274853</v>
      </c>
      <c r="AJ28" s="41">
        <f t="shared" ref="AJ28" si="45">MIN(SUM(AJ25:AJ26),AJ27)</f>
        <v>14825.062102274853</v>
      </c>
      <c r="AK28" s="41">
        <f t="shared" ref="AK28" si="46">MIN(SUM(AK25:AK26),AK27)</f>
        <v>14825.062102274853</v>
      </c>
      <c r="AL28" s="41">
        <f t="shared" ref="AL28" si="47">MIN(SUM(AL25:AL26),AL27)</f>
        <v>14825.062102274853</v>
      </c>
      <c r="AM28" s="41">
        <f t="shared" ref="AM28" si="48">MIN(SUM(AM25:AM26),AM27)</f>
        <v>14825.062102274853</v>
      </c>
      <c r="AN28" s="41">
        <f t="shared" ref="AN28" si="49">MIN(SUM(AN25:AN26),AN27)</f>
        <v>14825.062102274853</v>
      </c>
      <c r="AO28" s="41">
        <f t="shared" ref="AO28" si="50">MIN(SUM(AO25:AO26),AO27)</f>
        <v>14825.062102274853</v>
      </c>
      <c r="AP28" s="41">
        <f t="shared" ref="AP28" si="51">MIN(SUM(AP25:AP26),AP27)</f>
        <v>14825.062102274853</v>
      </c>
      <c r="AQ28" s="41">
        <f t="shared" ref="AQ28" si="52">MIN(SUM(AQ25:AQ26),AQ27)</f>
        <v>14825.062102274853</v>
      </c>
      <c r="AR28" s="41">
        <f t="shared" ref="AR28" si="53">MIN(SUM(AR25:AR26),AR27)</f>
        <v>14825.062102274853</v>
      </c>
      <c r="AS28" s="41">
        <f t="shared" ref="AS28" si="54">MIN(SUM(AS25:AS26),AS27)</f>
        <v>14825.062102274853</v>
      </c>
      <c r="AT28" s="41">
        <f t="shared" ref="AT28" si="55">MIN(SUM(AT25:AT26),AT27)</f>
        <v>14825.062102274853</v>
      </c>
      <c r="AU28" s="41">
        <f t="shared" ref="AU28" si="56">MIN(SUM(AU25:AU26),AU27)</f>
        <v>14825.062102274853</v>
      </c>
      <c r="AV28" s="41">
        <f t="shared" ref="AV28" si="57">MIN(SUM(AV25:AV26),AV27)</f>
        <v>14825.062102274853</v>
      </c>
      <c r="AW28" s="41">
        <f t="shared" ref="AW28" si="58">MIN(SUM(AW25:AW26),AW27)</f>
        <v>14825.062102274853</v>
      </c>
    </row>
    <row r="29" spans="1:49" x14ac:dyDescent="0.35">
      <c r="A29" s="38" t="s">
        <v>112</v>
      </c>
      <c r="B29" s="41">
        <f>+B25+B26-B28</f>
        <v>318945.59499999997</v>
      </c>
      <c r="C29" s="41">
        <f t="shared" ref="C29:F29" si="59">+C25+C26-C28</f>
        <v>630836.05759999994</v>
      </c>
      <c r="D29" s="41">
        <f t="shared" si="59"/>
        <v>942726.52019999991</v>
      </c>
      <c r="E29" s="41">
        <f t="shared" si="59"/>
        <v>1232648.8648449997</v>
      </c>
      <c r="F29" s="41">
        <f t="shared" si="59"/>
        <v>1522571.2094899998</v>
      </c>
      <c r="G29" s="41">
        <f t="shared" ref="G29" si="60">+G25+G26-G28</f>
        <v>1472191.0848877251</v>
      </c>
      <c r="H29" s="41">
        <f t="shared" ref="H29" si="61">+H25+H26-H28</f>
        <v>1421810.9602854503</v>
      </c>
      <c r="I29" s="41">
        <f t="shared" ref="I29" si="62">+I25+I26-I28</f>
        <v>1371430.8356831756</v>
      </c>
      <c r="J29" s="41">
        <f t="shared" ref="J29" si="63">+J25+J26-J28</f>
        <v>1356605.7735809009</v>
      </c>
      <c r="K29" s="41">
        <f t="shared" ref="K29" si="64">+K25+K26-K28</f>
        <v>1341780.7114786259</v>
      </c>
      <c r="L29" s="41">
        <f t="shared" ref="L29" si="65">+L25+L26-L28</f>
        <v>1326955.6493763509</v>
      </c>
      <c r="M29" s="41">
        <f t="shared" ref="M29" si="66">+M25+M26-M28</f>
        <v>1312130.587274076</v>
      </c>
      <c r="N29" s="41">
        <f t="shared" ref="N29" si="67">+N25+N26-N28</f>
        <v>1297305.525171801</v>
      </c>
      <c r="O29" s="41">
        <f t="shared" ref="O29" si="68">+O25+O26-O28</f>
        <v>1282480.463069526</v>
      </c>
      <c r="P29" s="41">
        <f t="shared" ref="P29" si="69">+P25+P26-P28</f>
        <v>1267655.400967251</v>
      </c>
      <c r="Q29" s="41">
        <f t="shared" ref="Q29" si="70">+Q25+Q26-Q28</f>
        <v>1252830.3388649761</v>
      </c>
      <c r="R29" s="41">
        <f t="shared" ref="R29" si="71">+R25+R26-R28</f>
        <v>1238005.2767627011</v>
      </c>
      <c r="S29" s="41">
        <f t="shared" ref="S29" si="72">+S25+S26-S28</f>
        <v>1223180.2146604261</v>
      </c>
      <c r="T29" s="41">
        <f t="shared" ref="T29" si="73">+T25+T26-T28</f>
        <v>1208355.1525581512</v>
      </c>
      <c r="U29" s="41">
        <f t="shared" ref="U29" si="74">+U25+U26-U28</f>
        <v>1193530.0904558762</v>
      </c>
      <c r="V29" s="41">
        <f t="shared" ref="V29" si="75">+V25+V26-V28</f>
        <v>1178705.0283536012</v>
      </c>
      <c r="W29" s="41">
        <f t="shared" ref="W29" si="76">+W25+W26-W28</f>
        <v>1163879.9662513263</v>
      </c>
      <c r="X29" s="41">
        <f t="shared" ref="X29" si="77">+X25+X26-X28</f>
        <v>1149054.9041490513</v>
      </c>
      <c r="Y29" s="41">
        <f t="shared" ref="Y29" si="78">+Y25+Y26-Y28</f>
        <v>1134229.8420467763</v>
      </c>
      <c r="Z29" s="41">
        <f t="shared" ref="Z29" si="79">+Z25+Z26-Z28</f>
        <v>1119404.7799445014</v>
      </c>
      <c r="AA29" s="41">
        <f t="shared" ref="AA29" si="80">+AA25+AA26-AA28</f>
        <v>1104579.7178422264</v>
      </c>
      <c r="AB29" s="41">
        <f t="shared" ref="AB29" si="81">+AB25+AB26-AB28</f>
        <v>1089754.6557399514</v>
      </c>
      <c r="AC29" s="41">
        <f t="shared" ref="AC29" si="82">+AC25+AC26-AC28</f>
        <v>1074929.5936376764</v>
      </c>
      <c r="AD29" s="41">
        <f t="shared" ref="AD29" si="83">+AD25+AD26-AD28</f>
        <v>1060104.5315354015</v>
      </c>
      <c r="AE29" s="41">
        <f t="shared" ref="AE29" si="84">+AE25+AE26-AE28</f>
        <v>1045279.4694331266</v>
      </c>
      <c r="AF29" s="41">
        <f t="shared" ref="AF29" si="85">+AF25+AF26-AF28</f>
        <v>1030454.4073308518</v>
      </c>
      <c r="AG29" s="41">
        <f t="shared" ref="AG29" si="86">+AG25+AG26-AG28</f>
        <v>1015629.3452285769</v>
      </c>
      <c r="AH29" s="41">
        <f t="shared" ref="AH29" si="87">+AH25+AH26-AH28</f>
        <v>1000804.2831263021</v>
      </c>
      <c r="AI29" s="41">
        <f t="shared" ref="AI29" si="88">+AI25+AI26-AI28</f>
        <v>985979.22102402721</v>
      </c>
      <c r="AJ29" s="41">
        <f t="shared" ref="AJ29" si="89">+AJ25+AJ26-AJ28</f>
        <v>971154.15892175236</v>
      </c>
      <c r="AK29" s="41">
        <f t="shared" ref="AK29" si="90">+AK25+AK26-AK28</f>
        <v>956329.09681947751</v>
      </c>
      <c r="AL29" s="41">
        <f t="shared" ref="AL29" si="91">+AL25+AL26-AL28</f>
        <v>941504.03471720265</v>
      </c>
      <c r="AM29" s="41">
        <f t="shared" ref="AM29" si="92">+AM25+AM26-AM28</f>
        <v>926678.9726149278</v>
      </c>
      <c r="AN29" s="41">
        <f t="shared" ref="AN29" si="93">+AN25+AN26-AN28</f>
        <v>911853.91051265295</v>
      </c>
      <c r="AO29" s="41">
        <f t="shared" ref="AO29" si="94">+AO25+AO26-AO28</f>
        <v>897028.84841037809</v>
      </c>
      <c r="AP29" s="41">
        <f t="shared" ref="AP29" si="95">+AP25+AP26-AP28</f>
        <v>882203.78630810324</v>
      </c>
      <c r="AQ29" s="41">
        <f t="shared" ref="AQ29" si="96">+AQ25+AQ26-AQ28</f>
        <v>867378.72420582839</v>
      </c>
      <c r="AR29" s="41">
        <f t="shared" ref="AR29" si="97">+AR25+AR26-AR28</f>
        <v>852553.66210355354</v>
      </c>
      <c r="AS29" s="41">
        <f t="shared" ref="AS29" si="98">+AS25+AS26-AS28</f>
        <v>837728.60000127868</v>
      </c>
      <c r="AT29" s="41">
        <f t="shared" ref="AT29" si="99">+AT25+AT26-AT28</f>
        <v>822903.53789900383</v>
      </c>
      <c r="AU29" s="41">
        <f t="shared" ref="AU29" si="100">+AU25+AU26-AU28</f>
        <v>808078.47579672898</v>
      </c>
      <c r="AV29" s="41">
        <f t="shared" ref="AV29" si="101">+AV25+AV26-AV28</f>
        <v>793253.41369445412</v>
      </c>
      <c r="AW29" s="41">
        <f t="shared" ref="AW29" si="102">+AW25+AW26-AW28</f>
        <v>778428.35159217927</v>
      </c>
    </row>
    <row r="30" spans="1:49" x14ac:dyDescent="0.35">
      <c r="A30" s="38"/>
      <c r="B30" s="38"/>
      <c r="C30" s="38"/>
      <c r="D30" s="38"/>
      <c r="E30" s="38"/>
      <c r="F30" s="38"/>
      <c r="G30" s="38"/>
    </row>
    <row r="31" spans="1:49" x14ac:dyDescent="0.35">
      <c r="A31" s="37" t="s">
        <v>113</v>
      </c>
      <c r="B31" s="38"/>
      <c r="C31" s="38"/>
      <c r="D31" s="38"/>
      <c r="E31" s="38"/>
      <c r="F31" s="38"/>
      <c r="G31" s="38"/>
    </row>
    <row r="32" spans="1:49" x14ac:dyDescent="0.35">
      <c r="A32" s="38" t="s">
        <v>114</v>
      </c>
      <c r="B32" s="41">
        <f>MAX(0,B22-B28)</f>
        <v>0</v>
      </c>
      <c r="C32" s="41">
        <f t="shared" ref="C32:AW32" si="103">MAX(0,C22-C28)</f>
        <v>0</v>
      </c>
      <c r="D32" s="41">
        <f t="shared" si="103"/>
        <v>0</v>
      </c>
      <c r="E32" s="41">
        <f t="shared" si="103"/>
        <v>0</v>
      </c>
      <c r="F32" s="41">
        <f t="shared" si="103"/>
        <v>0</v>
      </c>
      <c r="G32" s="41">
        <f t="shared" si="103"/>
        <v>117553.62407197463</v>
      </c>
      <c r="H32" s="41">
        <f t="shared" si="103"/>
        <v>117553.62407197463</v>
      </c>
      <c r="I32" s="41">
        <f t="shared" si="103"/>
        <v>117553.62407197463</v>
      </c>
      <c r="J32" s="41">
        <f t="shared" si="103"/>
        <v>34591.811571974657</v>
      </c>
      <c r="K32" s="41">
        <f t="shared" si="103"/>
        <v>34591.811571974657</v>
      </c>
      <c r="L32" s="41">
        <f t="shared" si="103"/>
        <v>34591.811571974657</v>
      </c>
      <c r="M32" s="41">
        <f t="shared" si="103"/>
        <v>34591.811571974657</v>
      </c>
      <c r="N32" s="41">
        <f t="shared" si="103"/>
        <v>34591.811571974657</v>
      </c>
      <c r="O32" s="41">
        <f t="shared" si="103"/>
        <v>34591.811571974657</v>
      </c>
      <c r="P32" s="41">
        <f t="shared" si="103"/>
        <v>34591.811571974657</v>
      </c>
      <c r="Q32" s="41">
        <f t="shared" si="103"/>
        <v>34591.811571974657</v>
      </c>
      <c r="R32" s="41">
        <f t="shared" si="103"/>
        <v>34591.811571974657</v>
      </c>
      <c r="S32" s="41">
        <f t="shared" si="103"/>
        <v>34591.811571974657</v>
      </c>
      <c r="T32" s="41">
        <f t="shared" si="103"/>
        <v>34591.811571974657</v>
      </c>
      <c r="U32" s="41">
        <f t="shared" si="103"/>
        <v>34591.811571974657</v>
      </c>
      <c r="V32" s="41">
        <f t="shared" si="103"/>
        <v>34591.811571974657</v>
      </c>
      <c r="W32" s="41">
        <f t="shared" si="103"/>
        <v>34591.811571974657</v>
      </c>
      <c r="X32" s="41">
        <f t="shared" si="103"/>
        <v>34591.811571974657</v>
      </c>
      <c r="Y32" s="41">
        <f t="shared" si="103"/>
        <v>34591.811571974657</v>
      </c>
      <c r="Z32" s="41">
        <f t="shared" si="103"/>
        <v>34591.811571974657</v>
      </c>
      <c r="AA32" s="41">
        <f t="shared" si="103"/>
        <v>34591.811571974657</v>
      </c>
      <c r="AB32" s="41">
        <f t="shared" si="103"/>
        <v>34591.811571974657</v>
      </c>
      <c r="AC32" s="41">
        <f t="shared" si="103"/>
        <v>34591.811571974657</v>
      </c>
      <c r="AD32" s="41">
        <f t="shared" si="103"/>
        <v>34591.811571974657</v>
      </c>
      <c r="AE32" s="41">
        <f t="shared" si="103"/>
        <v>34591.811571974657</v>
      </c>
      <c r="AF32" s="41">
        <f t="shared" si="103"/>
        <v>34591.811571974657</v>
      </c>
      <c r="AG32" s="41">
        <f t="shared" si="103"/>
        <v>34591.811571974657</v>
      </c>
      <c r="AH32" s="41">
        <f t="shared" si="103"/>
        <v>34591.811571974657</v>
      </c>
      <c r="AI32" s="41">
        <f t="shared" si="103"/>
        <v>34591.811571974657</v>
      </c>
      <c r="AJ32" s="41">
        <f t="shared" si="103"/>
        <v>34591.811571974657</v>
      </c>
      <c r="AK32" s="41">
        <f t="shared" si="103"/>
        <v>34591.811571974657</v>
      </c>
      <c r="AL32" s="41">
        <f t="shared" si="103"/>
        <v>34591.811571974657</v>
      </c>
      <c r="AM32" s="41">
        <f t="shared" si="103"/>
        <v>34591.811571974657</v>
      </c>
      <c r="AN32" s="41">
        <f t="shared" si="103"/>
        <v>34591.811571974657</v>
      </c>
      <c r="AO32" s="41">
        <f t="shared" si="103"/>
        <v>34591.811571974657</v>
      </c>
      <c r="AP32" s="41">
        <f t="shared" si="103"/>
        <v>34591.811571974657</v>
      </c>
      <c r="AQ32" s="41">
        <f t="shared" si="103"/>
        <v>34591.811571974657</v>
      </c>
      <c r="AR32" s="41">
        <f t="shared" si="103"/>
        <v>34591.811571974657</v>
      </c>
      <c r="AS32" s="41">
        <f t="shared" si="103"/>
        <v>34591.811571974657</v>
      </c>
      <c r="AT32" s="41">
        <f t="shared" si="103"/>
        <v>34591.811571974657</v>
      </c>
      <c r="AU32" s="41">
        <f t="shared" si="103"/>
        <v>34591.811571974657</v>
      </c>
      <c r="AV32" s="41">
        <f t="shared" si="103"/>
        <v>34591.811571974657</v>
      </c>
      <c r="AW32" s="41">
        <f t="shared" si="103"/>
        <v>34591.811571974657</v>
      </c>
    </row>
    <row r="33" spans="1:49" x14ac:dyDescent="0.35">
      <c r="A33" s="38"/>
      <c r="B33" s="38"/>
      <c r="C33" s="38"/>
      <c r="D33" s="38"/>
      <c r="E33" s="38"/>
      <c r="F33" s="38"/>
      <c r="G33" s="38"/>
    </row>
    <row r="34" spans="1:49" x14ac:dyDescent="0.35">
      <c r="A34" s="37" t="s">
        <v>115</v>
      </c>
      <c r="B34" s="38"/>
      <c r="C34" s="38"/>
      <c r="D34" s="38"/>
      <c r="E34" s="38"/>
      <c r="F34" s="38"/>
      <c r="G34" s="38"/>
    </row>
    <row r="35" spans="1:49" x14ac:dyDescent="0.35">
      <c r="A35" s="38" t="s">
        <v>116</v>
      </c>
      <c r="B35" s="41">
        <f>9%*B32</f>
        <v>0</v>
      </c>
      <c r="C35" s="41">
        <f t="shared" ref="C35:AW35" si="104">9%*C32</f>
        <v>0</v>
      </c>
      <c r="D35" s="41">
        <f t="shared" si="104"/>
        <v>0</v>
      </c>
      <c r="E35" s="41">
        <f t="shared" si="104"/>
        <v>0</v>
      </c>
      <c r="F35" s="41">
        <f t="shared" si="104"/>
        <v>0</v>
      </c>
      <c r="G35" s="41">
        <f t="shared" si="104"/>
        <v>10579.826166477716</v>
      </c>
      <c r="H35" s="41">
        <f t="shared" si="104"/>
        <v>10579.826166477716</v>
      </c>
      <c r="I35" s="41">
        <f t="shared" si="104"/>
        <v>10579.826166477716</v>
      </c>
      <c r="J35" s="41">
        <f t="shared" si="104"/>
        <v>3113.2630414777191</v>
      </c>
      <c r="K35" s="41">
        <f t="shared" si="104"/>
        <v>3113.2630414777191</v>
      </c>
      <c r="L35" s="41">
        <f t="shared" si="104"/>
        <v>3113.2630414777191</v>
      </c>
      <c r="M35" s="41">
        <f t="shared" si="104"/>
        <v>3113.2630414777191</v>
      </c>
      <c r="N35" s="41">
        <f t="shared" si="104"/>
        <v>3113.2630414777191</v>
      </c>
      <c r="O35" s="41">
        <f t="shared" si="104"/>
        <v>3113.2630414777191</v>
      </c>
      <c r="P35" s="41">
        <f t="shared" si="104"/>
        <v>3113.2630414777191</v>
      </c>
      <c r="Q35" s="41">
        <f t="shared" si="104"/>
        <v>3113.2630414777191</v>
      </c>
      <c r="R35" s="41">
        <f t="shared" si="104"/>
        <v>3113.2630414777191</v>
      </c>
      <c r="S35" s="41">
        <f t="shared" si="104"/>
        <v>3113.2630414777191</v>
      </c>
      <c r="T35" s="41">
        <f t="shared" si="104"/>
        <v>3113.2630414777191</v>
      </c>
      <c r="U35" s="41">
        <f t="shared" si="104"/>
        <v>3113.2630414777191</v>
      </c>
      <c r="V35" s="41">
        <f t="shared" si="104"/>
        <v>3113.2630414777191</v>
      </c>
      <c r="W35" s="41">
        <f t="shared" si="104"/>
        <v>3113.2630414777191</v>
      </c>
      <c r="X35" s="41">
        <f t="shared" si="104"/>
        <v>3113.2630414777191</v>
      </c>
      <c r="Y35" s="41">
        <f t="shared" si="104"/>
        <v>3113.2630414777191</v>
      </c>
      <c r="Z35" s="41">
        <f t="shared" si="104"/>
        <v>3113.2630414777191</v>
      </c>
      <c r="AA35" s="41">
        <f t="shared" si="104"/>
        <v>3113.2630414777191</v>
      </c>
      <c r="AB35" s="41">
        <f t="shared" si="104"/>
        <v>3113.2630414777191</v>
      </c>
      <c r="AC35" s="41">
        <f t="shared" si="104"/>
        <v>3113.2630414777191</v>
      </c>
      <c r="AD35" s="41">
        <f t="shared" si="104"/>
        <v>3113.2630414777191</v>
      </c>
      <c r="AE35" s="41">
        <f t="shared" si="104"/>
        <v>3113.2630414777191</v>
      </c>
      <c r="AF35" s="41">
        <f t="shared" si="104"/>
        <v>3113.2630414777191</v>
      </c>
      <c r="AG35" s="41">
        <f t="shared" si="104"/>
        <v>3113.2630414777191</v>
      </c>
      <c r="AH35" s="41">
        <f t="shared" si="104"/>
        <v>3113.2630414777191</v>
      </c>
      <c r="AI35" s="41">
        <f t="shared" si="104"/>
        <v>3113.2630414777191</v>
      </c>
      <c r="AJ35" s="41">
        <f t="shared" si="104"/>
        <v>3113.2630414777191</v>
      </c>
      <c r="AK35" s="41">
        <f t="shared" si="104"/>
        <v>3113.2630414777191</v>
      </c>
      <c r="AL35" s="41">
        <f t="shared" si="104"/>
        <v>3113.2630414777191</v>
      </c>
      <c r="AM35" s="41">
        <f t="shared" si="104"/>
        <v>3113.2630414777191</v>
      </c>
      <c r="AN35" s="41">
        <f t="shared" si="104"/>
        <v>3113.2630414777191</v>
      </c>
      <c r="AO35" s="41">
        <f t="shared" si="104"/>
        <v>3113.2630414777191</v>
      </c>
      <c r="AP35" s="41">
        <f t="shared" si="104"/>
        <v>3113.2630414777191</v>
      </c>
      <c r="AQ35" s="41">
        <f t="shared" si="104"/>
        <v>3113.2630414777191</v>
      </c>
      <c r="AR35" s="41">
        <f t="shared" si="104"/>
        <v>3113.2630414777191</v>
      </c>
      <c r="AS35" s="41">
        <f t="shared" si="104"/>
        <v>3113.2630414777191</v>
      </c>
      <c r="AT35" s="41">
        <f t="shared" si="104"/>
        <v>3113.2630414777191</v>
      </c>
      <c r="AU35" s="41">
        <f t="shared" si="104"/>
        <v>3113.2630414777191</v>
      </c>
      <c r="AV35" s="41">
        <f t="shared" si="104"/>
        <v>3113.2630414777191</v>
      </c>
      <c r="AW35" s="41">
        <f t="shared" si="104"/>
        <v>3113.2630414777191</v>
      </c>
    </row>
    <row r="36" spans="1:49" x14ac:dyDescent="0.35">
      <c r="A36" s="38"/>
      <c r="B36" s="38"/>
      <c r="C36" s="38"/>
      <c r="D36" s="38"/>
      <c r="E36" s="38"/>
      <c r="F36" s="38"/>
      <c r="G36" s="38"/>
    </row>
    <row r="37" spans="1:49" x14ac:dyDescent="0.35">
      <c r="A37" s="37" t="s">
        <v>117</v>
      </c>
      <c r="B37" s="38"/>
      <c r="C37" s="38"/>
      <c r="D37" s="38"/>
      <c r="E37" s="38"/>
      <c r="F37" s="38"/>
      <c r="G37" s="38"/>
    </row>
    <row r="38" spans="1:49" x14ac:dyDescent="0.35">
      <c r="A38" s="38" t="s">
        <v>118</v>
      </c>
      <c r="B38" s="41">
        <f>-B35</f>
        <v>0</v>
      </c>
      <c r="C38" s="41">
        <f t="shared" ref="C38:AW38" si="105">-C35</f>
        <v>0</v>
      </c>
      <c r="D38" s="41">
        <f t="shared" si="105"/>
        <v>0</v>
      </c>
      <c r="E38" s="41">
        <f t="shared" si="105"/>
        <v>0</v>
      </c>
      <c r="F38" s="41">
        <f t="shared" si="105"/>
        <v>0</v>
      </c>
      <c r="G38" s="41">
        <f t="shared" si="105"/>
        <v>-10579.826166477716</v>
      </c>
      <c r="H38" s="41">
        <f t="shared" si="105"/>
        <v>-10579.826166477716</v>
      </c>
      <c r="I38" s="41">
        <f t="shared" si="105"/>
        <v>-10579.826166477716</v>
      </c>
      <c r="J38" s="41">
        <f t="shared" si="105"/>
        <v>-3113.2630414777191</v>
      </c>
      <c r="K38" s="41">
        <f t="shared" si="105"/>
        <v>-3113.2630414777191</v>
      </c>
      <c r="L38" s="41">
        <f t="shared" si="105"/>
        <v>-3113.2630414777191</v>
      </c>
      <c r="M38" s="41">
        <f t="shared" si="105"/>
        <v>-3113.2630414777191</v>
      </c>
      <c r="N38" s="41">
        <f t="shared" si="105"/>
        <v>-3113.2630414777191</v>
      </c>
      <c r="O38" s="41">
        <f t="shared" si="105"/>
        <v>-3113.2630414777191</v>
      </c>
      <c r="P38" s="41">
        <f t="shared" si="105"/>
        <v>-3113.2630414777191</v>
      </c>
      <c r="Q38" s="41">
        <f t="shared" si="105"/>
        <v>-3113.2630414777191</v>
      </c>
      <c r="R38" s="41">
        <f t="shared" si="105"/>
        <v>-3113.2630414777191</v>
      </c>
      <c r="S38" s="41">
        <f t="shared" si="105"/>
        <v>-3113.2630414777191</v>
      </c>
      <c r="T38" s="41">
        <f t="shared" si="105"/>
        <v>-3113.2630414777191</v>
      </c>
      <c r="U38" s="41">
        <f t="shared" si="105"/>
        <v>-3113.2630414777191</v>
      </c>
      <c r="V38" s="41">
        <f t="shared" si="105"/>
        <v>-3113.2630414777191</v>
      </c>
      <c r="W38" s="41">
        <f t="shared" si="105"/>
        <v>-3113.2630414777191</v>
      </c>
      <c r="X38" s="41">
        <f t="shared" si="105"/>
        <v>-3113.2630414777191</v>
      </c>
      <c r="Y38" s="41">
        <f t="shared" si="105"/>
        <v>-3113.2630414777191</v>
      </c>
      <c r="Z38" s="41">
        <f t="shared" si="105"/>
        <v>-3113.2630414777191</v>
      </c>
      <c r="AA38" s="41">
        <f t="shared" si="105"/>
        <v>-3113.2630414777191</v>
      </c>
      <c r="AB38" s="41">
        <f t="shared" si="105"/>
        <v>-3113.2630414777191</v>
      </c>
      <c r="AC38" s="41">
        <f t="shared" si="105"/>
        <v>-3113.2630414777191</v>
      </c>
      <c r="AD38" s="41">
        <f t="shared" si="105"/>
        <v>-3113.2630414777191</v>
      </c>
      <c r="AE38" s="41">
        <f t="shared" si="105"/>
        <v>-3113.2630414777191</v>
      </c>
      <c r="AF38" s="41">
        <f t="shared" si="105"/>
        <v>-3113.2630414777191</v>
      </c>
      <c r="AG38" s="41">
        <f t="shared" si="105"/>
        <v>-3113.2630414777191</v>
      </c>
      <c r="AH38" s="41">
        <f t="shared" si="105"/>
        <v>-3113.2630414777191</v>
      </c>
      <c r="AI38" s="41">
        <f t="shared" si="105"/>
        <v>-3113.2630414777191</v>
      </c>
      <c r="AJ38" s="41">
        <f t="shared" si="105"/>
        <v>-3113.2630414777191</v>
      </c>
      <c r="AK38" s="41">
        <f t="shared" si="105"/>
        <v>-3113.2630414777191</v>
      </c>
      <c r="AL38" s="41">
        <f t="shared" si="105"/>
        <v>-3113.2630414777191</v>
      </c>
      <c r="AM38" s="41">
        <f t="shared" si="105"/>
        <v>-3113.2630414777191</v>
      </c>
      <c r="AN38" s="41">
        <f t="shared" si="105"/>
        <v>-3113.2630414777191</v>
      </c>
      <c r="AO38" s="41">
        <f t="shared" si="105"/>
        <v>-3113.2630414777191</v>
      </c>
      <c r="AP38" s="41">
        <f t="shared" si="105"/>
        <v>-3113.2630414777191</v>
      </c>
      <c r="AQ38" s="41">
        <f t="shared" si="105"/>
        <v>-3113.2630414777191</v>
      </c>
      <c r="AR38" s="41">
        <f t="shared" si="105"/>
        <v>-3113.2630414777191</v>
      </c>
      <c r="AS38" s="41">
        <f t="shared" si="105"/>
        <v>-3113.2630414777191</v>
      </c>
      <c r="AT38" s="41">
        <f t="shared" si="105"/>
        <v>-3113.2630414777191</v>
      </c>
      <c r="AU38" s="41">
        <f t="shared" si="105"/>
        <v>-3113.2630414777191</v>
      </c>
      <c r="AV38" s="41">
        <f t="shared" si="105"/>
        <v>-3113.2630414777191</v>
      </c>
      <c r="AW38" s="41">
        <f t="shared" si="105"/>
        <v>-3113.2630414777191</v>
      </c>
    </row>
    <row r="41" spans="1:49" x14ac:dyDescent="0.35">
      <c r="A41" s="39" t="s">
        <v>119</v>
      </c>
      <c r="B41" s="36"/>
      <c r="C41" s="36"/>
      <c r="D41" s="36"/>
      <c r="E41" s="36"/>
      <c r="F41" s="36"/>
      <c r="G41" s="36"/>
    </row>
    <row r="42" spans="1:49" x14ac:dyDescent="0.35">
      <c r="A42" s="37" t="s">
        <v>100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</row>
    <row r="43" spans="1:49" x14ac:dyDescent="0.35">
      <c r="A43" s="38" t="s">
        <v>101</v>
      </c>
      <c r="B43" s="34">
        <f>DRE!H13</f>
        <v>-318945.59499999997</v>
      </c>
      <c r="C43" s="34">
        <f>DRE!I13</f>
        <v>-311890.46259999997</v>
      </c>
      <c r="D43" s="34">
        <f>DRE!J13</f>
        <v>-311890.46259999997</v>
      </c>
      <c r="E43" s="34">
        <f>DRE!K13</f>
        <v>-289922.34464499995</v>
      </c>
      <c r="F43" s="34">
        <f>DRE!L13</f>
        <v>-289922.34464499995</v>
      </c>
      <c r="G43" s="34">
        <f>DRE!M13</f>
        <v>167933.74867424945</v>
      </c>
      <c r="H43" s="34">
        <f>DRE!N13</f>
        <v>167933.74867424945</v>
      </c>
      <c r="I43" s="34">
        <f>DRE!O13</f>
        <v>167933.74867424945</v>
      </c>
      <c r="J43" s="34">
        <f>DRE!P13</f>
        <v>49416.873674249509</v>
      </c>
      <c r="K43" s="34">
        <f>DRE!Q13</f>
        <v>49416.873674249509</v>
      </c>
      <c r="L43" s="34">
        <f>DRE!R13</f>
        <v>49416.873674249509</v>
      </c>
      <c r="M43" s="34">
        <f>DRE!S13</f>
        <v>49416.873674249509</v>
      </c>
      <c r="N43" s="34">
        <f>DRE!T13</f>
        <v>49416.873674249509</v>
      </c>
      <c r="O43" s="34">
        <f>DRE!U13</f>
        <v>49416.873674249509</v>
      </c>
      <c r="P43" s="34">
        <f>DRE!V13</f>
        <v>49416.873674249509</v>
      </c>
      <c r="Q43" s="34">
        <f>DRE!W13</f>
        <v>49416.873674249509</v>
      </c>
      <c r="R43" s="34">
        <f>DRE!X13</f>
        <v>49416.873674249509</v>
      </c>
      <c r="S43" s="34">
        <f>DRE!Y13</f>
        <v>49416.873674249509</v>
      </c>
      <c r="T43" s="34">
        <f>DRE!Z13</f>
        <v>49416.873674249509</v>
      </c>
      <c r="U43" s="34">
        <f>DRE!AA13</f>
        <v>49416.873674249509</v>
      </c>
      <c r="V43" s="34">
        <f>DRE!AB13</f>
        <v>49416.873674249509</v>
      </c>
      <c r="W43" s="34">
        <f>DRE!AC13</f>
        <v>49416.873674249509</v>
      </c>
      <c r="X43" s="34">
        <f>DRE!AD13</f>
        <v>49416.873674249509</v>
      </c>
      <c r="Y43" s="34">
        <f>DRE!AE13</f>
        <v>49416.873674249509</v>
      </c>
      <c r="Z43" s="34">
        <f>DRE!AF13</f>
        <v>49416.873674249509</v>
      </c>
      <c r="AA43" s="34">
        <f>DRE!AG13</f>
        <v>49416.873674249509</v>
      </c>
      <c r="AB43" s="34">
        <f>DRE!AH13</f>
        <v>49416.873674249509</v>
      </c>
      <c r="AC43" s="34">
        <f>DRE!AI13</f>
        <v>49416.873674249509</v>
      </c>
      <c r="AD43" s="34">
        <f>DRE!AJ13</f>
        <v>49416.873674249509</v>
      </c>
      <c r="AE43" s="34">
        <f>DRE!AK13</f>
        <v>49416.873674249509</v>
      </c>
      <c r="AF43" s="34">
        <f>DRE!AL13</f>
        <v>49416.873674249509</v>
      </c>
      <c r="AG43" s="34">
        <f>DRE!AM13</f>
        <v>49416.873674249509</v>
      </c>
      <c r="AH43" s="34">
        <f>DRE!AN13</f>
        <v>49416.873674249509</v>
      </c>
      <c r="AI43" s="34">
        <f>DRE!AO13</f>
        <v>49416.873674249509</v>
      </c>
      <c r="AJ43" s="34">
        <f>DRE!AP13</f>
        <v>49416.873674249509</v>
      </c>
      <c r="AK43" s="34">
        <f>DRE!AQ13</f>
        <v>49416.873674249509</v>
      </c>
      <c r="AL43" s="34">
        <f>DRE!AR13</f>
        <v>49416.873674249509</v>
      </c>
      <c r="AM43" s="34">
        <f>DRE!AS13</f>
        <v>49416.873674249509</v>
      </c>
      <c r="AN43" s="34">
        <f>DRE!AT13</f>
        <v>49416.873674249509</v>
      </c>
      <c r="AO43" s="34">
        <f>DRE!AU13</f>
        <v>49416.873674249509</v>
      </c>
      <c r="AP43" s="34">
        <f>DRE!AV13</f>
        <v>49416.873674249509</v>
      </c>
      <c r="AQ43" s="34">
        <f>DRE!AW13</f>
        <v>49416.873674249509</v>
      </c>
      <c r="AR43" s="34">
        <f>DRE!AX13</f>
        <v>49416.873674249509</v>
      </c>
      <c r="AS43" s="34">
        <f>DRE!AY13</f>
        <v>49416.873674249509</v>
      </c>
      <c r="AT43" s="34">
        <f>DRE!AZ13</f>
        <v>49416.873674249509</v>
      </c>
      <c r="AU43" s="34">
        <f>DRE!BA13</f>
        <v>49416.873674249509</v>
      </c>
      <c r="AV43" s="34">
        <f>DRE!BB13</f>
        <v>49416.873674249509</v>
      </c>
      <c r="AW43" s="34">
        <f>DRE!BC13</f>
        <v>49416.873674249509</v>
      </c>
    </row>
    <row r="44" spans="1:49" x14ac:dyDescent="0.35">
      <c r="A44" s="38"/>
      <c r="B44" s="38"/>
      <c r="C44" s="38"/>
      <c r="D44" s="38"/>
      <c r="E44" s="38"/>
      <c r="F44" s="38"/>
      <c r="G44" s="38"/>
    </row>
    <row r="45" spans="1:49" x14ac:dyDescent="0.35">
      <c r="A45" s="37" t="s">
        <v>120</v>
      </c>
      <c r="B45" s="42">
        <f>+SUM(B46:B47)</f>
        <v>0</v>
      </c>
      <c r="C45" s="42">
        <f t="shared" ref="C45" si="106">+SUM(C46:C47)</f>
        <v>0</v>
      </c>
      <c r="D45" s="42">
        <f t="shared" ref="D45" si="107">+SUM(D46:D47)</f>
        <v>0</v>
      </c>
      <c r="E45" s="42">
        <f t="shared" ref="E45" si="108">+SUM(E46:E47)</f>
        <v>0</v>
      </c>
      <c r="F45" s="42">
        <f t="shared" ref="F45" si="109">+SUM(F46:F47)</f>
        <v>0</v>
      </c>
      <c r="G45" s="42">
        <f t="shared" ref="G45" si="110">+SUM(G46:G47)</f>
        <v>0</v>
      </c>
      <c r="H45" s="42">
        <f t="shared" ref="H45" si="111">+SUM(H46:H47)</f>
        <v>0</v>
      </c>
      <c r="I45" s="42">
        <f t="shared" ref="I45" si="112">+SUM(I46:I47)</f>
        <v>0</v>
      </c>
      <c r="J45" s="42">
        <f t="shared" ref="J45" si="113">+SUM(J46:J47)</f>
        <v>0</v>
      </c>
      <c r="K45" s="42">
        <f t="shared" ref="K45" si="114">+SUM(K46:K47)</f>
        <v>0</v>
      </c>
      <c r="L45" s="42">
        <f t="shared" ref="L45" si="115">+SUM(L46:L47)</f>
        <v>0</v>
      </c>
      <c r="M45" s="42">
        <f t="shared" ref="M45" si="116">+SUM(M46:M47)</f>
        <v>0</v>
      </c>
      <c r="N45" s="42">
        <f t="shared" ref="N45" si="117">+SUM(N46:N47)</f>
        <v>0</v>
      </c>
      <c r="O45" s="42">
        <f t="shared" ref="O45" si="118">+SUM(O46:O47)</f>
        <v>0</v>
      </c>
      <c r="P45" s="42">
        <f t="shared" ref="P45" si="119">+SUM(P46:P47)</f>
        <v>0</v>
      </c>
      <c r="Q45" s="42">
        <f t="shared" ref="Q45" si="120">+SUM(Q46:Q47)</f>
        <v>0</v>
      </c>
      <c r="R45" s="42">
        <f t="shared" ref="R45" si="121">+SUM(R46:R47)</f>
        <v>0</v>
      </c>
      <c r="S45" s="42">
        <f t="shared" ref="S45" si="122">+SUM(S46:S47)</f>
        <v>0</v>
      </c>
      <c r="T45" s="42">
        <f t="shared" ref="T45" si="123">+SUM(T46:T47)</f>
        <v>0</v>
      </c>
      <c r="U45" s="42">
        <f t="shared" ref="U45" si="124">+SUM(U46:U47)</f>
        <v>0</v>
      </c>
      <c r="V45" s="42">
        <f t="shared" ref="V45" si="125">+SUM(V46:V47)</f>
        <v>0</v>
      </c>
      <c r="W45" s="42">
        <f t="shared" ref="W45" si="126">+SUM(W46:W47)</f>
        <v>0</v>
      </c>
      <c r="X45" s="42">
        <f t="shared" ref="X45" si="127">+SUM(X46:X47)</f>
        <v>0</v>
      </c>
      <c r="Y45" s="42">
        <f t="shared" ref="Y45" si="128">+SUM(Y46:Y47)</f>
        <v>0</v>
      </c>
      <c r="Z45" s="42">
        <f t="shared" ref="Z45" si="129">+SUM(Z46:Z47)</f>
        <v>0</v>
      </c>
      <c r="AA45" s="42">
        <f t="shared" ref="AA45" si="130">+SUM(AA46:AA47)</f>
        <v>0</v>
      </c>
      <c r="AB45" s="42">
        <f t="shared" ref="AB45" si="131">+SUM(AB46:AB47)</f>
        <v>0</v>
      </c>
      <c r="AC45" s="42">
        <f t="shared" ref="AC45" si="132">+SUM(AC46:AC47)</f>
        <v>0</v>
      </c>
      <c r="AD45" s="42">
        <f t="shared" ref="AD45" si="133">+SUM(AD46:AD47)</f>
        <v>0</v>
      </c>
      <c r="AE45" s="42">
        <f t="shared" ref="AE45" si="134">+SUM(AE46:AE47)</f>
        <v>0</v>
      </c>
      <c r="AF45" s="42">
        <f t="shared" ref="AF45" si="135">+SUM(AF46:AF47)</f>
        <v>0</v>
      </c>
      <c r="AG45" s="42">
        <f t="shared" ref="AG45" si="136">+SUM(AG46:AG47)</f>
        <v>0</v>
      </c>
      <c r="AH45" s="42">
        <f t="shared" ref="AH45" si="137">+SUM(AH46:AH47)</f>
        <v>0</v>
      </c>
      <c r="AI45" s="42">
        <f t="shared" ref="AI45" si="138">+SUM(AI46:AI47)</f>
        <v>0</v>
      </c>
      <c r="AJ45" s="42">
        <f t="shared" ref="AJ45" si="139">+SUM(AJ46:AJ47)</f>
        <v>0</v>
      </c>
      <c r="AK45" s="42">
        <f t="shared" ref="AK45" si="140">+SUM(AK46:AK47)</f>
        <v>0</v>
      </c>
      <c r="AL45" s="42">
        <f t="shared" ref="AL45" si="141">+SUM(AL46:AL47)</f>
        <v>0</v>
      </c>
      <c r="AM45" s="42">
        <f t="shared" ref="AM45" si="142">+SUM(AM46:AM47)</f>
        <v>0</v>
      </c>
      <c r="AN45" s="42">
        <f t="shared" ref="AN45" si="143">+SUM(AN46:AN47)</f>
        <v>0</v>
      </c>
      <c r="AO45" s="42">
        <f t="shared" ref="AO45" si="144">+SUM(AO46:AO47)</f>
        <v>0</v>
      </c>
      <c r="AP45" s="42">
        <f t="shared" ref="AP45" si="145">+SUM(AP46:AP47)</f>
        <v>0</v>
      </c>
      <c r="AQ45" s="42">
        <f t="shared" ref="AQ45" si="146">+SUM(AQ46:AQ47)</f>
        <v>0</v>
      </c>
      <c r="AR45" s="42">
        <f t="shared" ref="AR45" si="147">+SUM(AR46:AR47)</f>
        <v>0</v>
      </c>
      <c r="AS45" s="42">
        <f t="shared" ref="AS45" si="148">+SUM(AS46:AS47)</f>
        <v>0</v>
      </c>
      <c r="AT45" s="42">
        <f t="shared" ref="AT45" si="149">+SUM(AT46:AT47)</f>
        <v>0</v>
      </c>
      <c r="AU45" s="42">
        <f t="shared" ref="AU45" si="150">+SUM(AU46:AU47)</f>
        <v>0</v>
      </c>
      <c r="AV45" s="42">
        <f t="shared" ref="AV45" si="151">+SUM(AV46:AV47)</f>
        <v>0</v>
      </c>
      <c r="AW45" s="42">
        <f t="shared" ref="AW45" si="152">+SUM(AW46:AW47)</f>
        <v>0</v>
      </c>
    </row>
    <row r="46" spans="1:49" x14ac:dyDescent="0.35">
      <c r="A46" s="38" t="s">
        <v>103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</row>
    <row r="47" spans="1:49" x14ac:dyDescent="0.35">
      <c r="A47" s="38" t="s">
        <v>104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34">
        <v>0</v>
      </c>
      <c r="AT47" s="34">
        <v>0</v>
      </c>
      <c r="AU47" s="34">
        <v>0</v>
      </c>
      <c r="AV47" s="34">
        <v>0</v>
      </c>
      <c r="AW47" s="34">
        <v>0</v>
      </c>
    </row>
    <row r="48" spans="1:49" x14ac:dyDescent="0.35">
      <c r="A48" s="38"/>
      <c r="B48" s="38"/>
      <c r="C48" s="38"/>
      <c r="D48" s="38"/>
      <c r="E48" s="38"/>
      <c r="F48" s="38"/>
      <c r="G48" s="38"/>
    </row>
    <row r="49" spans="1:49" x14ac:dyDescent="0.35">
      <c r="A49" s="37" t="s">
        <v>121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</row>
    <row r="50" spans="1:49" x14ac:dyDescent="0.35">
      <c r="A50" s="38" t="s">
        <v>106</v>
      </c>
      <c r="B50" s="41">
        <f>+B43-B45</f>
        <v>-318945.59499999997</v>
      </c>
      <c r="C50" s="41">
        <f t="shared" ref="C50:AW50" si="153">+C43-C45</f>
        <v>-311890.46259999997</v>
      </c>
      <c r="D50" s="41">
        <f t="shared" si="153"/>
        <v>-311890.46259999997</v>
      </c>
      <c r="E50" s="41">
        <f t="shared" si="153"/>
        <v>-289922.34464499995</v>
      </c>
      <c r="F50" s="41">
        <f t="shared" si="153"/>
        <v>-289922.34464499995</v>
      </c>
      <c r="G50" s="41">
        <f t="shared" si="153"/>
        <v>167933.74867424945</v>
      </c>
      <c r="H50" s="41">
        <f t="shared" si="153"/>
        <v>167933.74867424945</v>
      </c>
      <c r="I50" s="41">
        <f t="shared" si="153"/>
        <v>167933.74867424945</v>
      </c>
      <c r="J50" s="41">
        <f t="shared" si="153"/>
        <v>49416.873674249509</v>
      </c>
      <c r="K50" s="41">
        <f t="shared" si="153"/>
        <v>49416.873674249509</v>
      </c>
      <c r="L50" s="41">
        <f t="shared" si="153"/>
        <v>49416.873674249509</v>
      </c>
      <c r="M50" s="41">
        <f t="shared" si="153"/>
        <v>49416.873674249509</v>
      </c>
      <c r="N50" s="41">
        <f t="shared" si="153"/>
        <v>49416.873674249509</v>
      </c>
      <c r="O50" s="41">
        <f t="shared" si="153"/>
        <v>49416.873674249509</v>
      </c>
      <c r="P50" s="41">
        <f t="shared" si="153"/>
        <v>49416.873674249509</v>
      </c>
      <c r="Q50" s="41">
        <f t="shared" si="153"/>
        <v>49416.873674249509</v>
      </c>
      <c r="R50" s="41">
        <f t="shared" si="153"/>
        <v>49416.873674249509</v>
      </c>
      <c r="S50" s="41">
        <f t="shared" si="153"/>
        <v>49416.873674249509</v>
      </c>
      <c r="T50" s="41">
        <f t="shared" si="153"/>
        <v>49416.873674249509</v>
      </c>
      <c r="U50" s="41">
        <f t="shared" si="153"/>
        <v>49416.873674249509</v>
      </c>
      <c r="V50" s="41">
        <f t="shared" si="153"/>
        <v>49416.873674249509</v>
      </c>
      <c r="W50" s="41">
        <f t="shared" si="153"/>
        <v>49416.873674249509</v>
      </c>
      <c r="X50" s="41">
        <f t="shared" si="153"/>
        <v>49416.873674249509</v>
      </c>
      <c r="Y50" s="41">
        <f t="shared" si="153"/>
        <v>49416.873674249509</v>
      </c>
      <c r="Z50" s="41">
        <f t="shared" si="153"/>
        <v>49416.873674249509</v>
      </c>
      <c r="AA50" s="41">
        <f t="shared" si="153"/>
        <v>49416.873674249509</v>
      </c>
      <c r="AB50" s="41">
        <f t="shared" si="153"/>
        <v>49416.873674249509</v>
      </c>
      <c r="AC50" s="41">
        <f t="shared" si="153"/>
        <v>49416.873674249509</v>
      </c>
      <c r="AD50" s="41">
        <f t="shared" si="153"/>
        <v>49416.873674249509</v>
      </c>
      <c r="AE50" s="41">
        <f t="shared" si="153"/>
        <v>49416.873674249509</v>
      </c>
      <c r="AF50" s="41">
        <f t="shared" si="153"/>
        <v>49416.873674249509</v>
      </c>
      <c r="AG50" s="41">
        <f t="shared" si="153"/>
        <v>49416.873674249509</v>
      </c>
      <c r="AH50" s="41">
        <f t="shared" si="153"/>
        <v>49416.873674249509</v>
      </c>
      <c r="AI50" s="41">
        <f t="shared" si="153"/>
        <v>49416.873674249509</v>
      </c>
      <c r="AJ50" s="41">
        <f t="shared" si="153"/>
        <v>49416.873674249509</v>
      </c>
      <c r="AK50" s="41">
        <f t="shared" si="153"/>
        <v>49416.873674249509</v>
      </c>
      <c r="AL50" s="41">
        <f t="shared" si="153"/>
        <v>49416.873674249509</v>
      </c>
      <c r="AM50" s="41">
        <f t="shared" si="153"/>
        <v>49416.873674249509</v>
      </c>
      <c r="AN50" s="41">
        <f t="shared" si="153"/>
        <v>49416.873674249509</v>
      </c>
      <c r="AO50" s="41">
        <f t="shared" si="153"/>
        <v>49416.873674249509</v>
      </c>
      <c r="AP50" s="41">
        <f t="shared" si="153"/>
        <v>49416.873674249509</v>
      </c>
      <c r="AQ50" s="41">
        <f t="shared" si="153"/>
        <v>49416.873674249509</v>
      </c>
      <c r="AR50" s="41">
        <f t="shared" si="153"/>
        <v>49416.873674249509</v>
      </c>
      <c r="AS50" s="41">
        <f t="shared" si="153"/>
        <v>49416.873674249509</v>
      </c>
      <c r="AT50" s="41">
        <f t="shared" si="153"/>
        <v>49416.873674249509</v>
      </c>
      <c r="AU50" s="41">
        <f t="shared" si="153"/>
        <v>49416.873674249509</v>
      </c>
      <c r="AV50" s="41">
        <f t="shared" si="153"/>
        <v>49416.873674249509</v>
      </c>
      <c r="AW50" s="41">
        <f t="shared" si="153"/>
        <v>49416.873674249509</v>
      </c>
    </row>
    <row r="51" spans="1:49" x14ac:dyDescent="0.35">
      <c r="A51" s="3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</row>
    <row r="52" spans="1:49" x14ac:dyDescent="0.35">
      <c r="A52" s="37" t="s">
        <v>107</v>
      </c>
      <c r="B52" s="38"/>
      <c r="C52" s="38"/>
      <c r="D52" s="38"/>
      <c r="E52" s="38"/>
      <c r="F52" s="38"/>
      <c r="G52" s="38"/>
    </row>
    <row r="53" spans="1:49" x14ac:dyDescent="0.35">
      <c r="A53" s="38" t="s">
        <v>108</v>
      </c>
      <c r="B53" s="41">
        <v>0</v>
      </c>
      <c r="C53" s="41">
        <f>+B57</f>
        <v>318945.59499999997</v>
      </c>
      <c r="D53" s="41">
        <f t="shared" ref="D53:AW53" si="154">+C57</f>
        <v>630836.05759999994</v>
      </c>
      <c r="E53" s="41">
        <f t="shared" si="154"/>
        <v>942726.52019999991</v>
      </c>
      <c r="F53" s="41">
        <f t="shared" si="154"/>
        <v>1232648.8648449997</v>
      </c>
      <c r="G53" s="41">
        <f t="shared" si="154"/>
        <v>1522571.2094899998</v>
      </c>
      <c r="H53" s="41">
        <f t="shared" si="154"/>
        <v>1472191.0848877251</v>
      </c>
      <c r="I53" s="41">
        <f t="shared" si="154"/>
        <v>1421810.9602854503</v>
      </c>
      <c r="J53" s="41">
        <f t="shared" si="154"/>
        <v>1371430.8356831756</v>
      </c>
      <c r="K53" s="41">
        <f t="shared" si="154"/>
        <v>1356605.7735809009</v>
      </c>
      <c r="L53" s="41">
        <f t="shared" si="154"/>
        <v>1341780.7114786259</v>
      </c>
      <c r="M53" s="41">
        <f t="shared" si="154"/>
        <v>1326955.6493763509</v>
      </c>
      <c r="N53" s="41">
        <f t="shared" si="154"/>
        <v>1312130.587274076</v>
      </c>
      <c r="O53" s="41">
        <f t="shared" si="154"/>
        <v>1297305.525171801</v>
      </c>
      <c r="P53" s="41">
        <f t="shared" si="154"/>
        <v>1282480.463069526</v>
      </c>
      <c r="Q53" s="41">
        <f t="shared" si="154"/>
        <v>1267655.400967251</v>
      </c>
      <c r="R53" s="41">
        <f t="shared" si="154"/>
        <v>1252830.3388649761</v>
      </c>
      <c r="S53" s="41">
        <f t="shared" si="154"/>
        <v>1238005.2767627011</v>
      </c>
      <c r="T53" s="41">
        <f t="shared" si="154"/>
        <v>1223180.2146604261</v>
      </c>
      <c r="U53" s="41">
        <f t="shared" si="154"/>
        <v>1208355.1525581512</v>
      </c>
      <c r="V53" s="41">
        <f t="shared" si="154"/>
        <v>1193530.0904558762</v>
      </c>
      <c r="W53" s="41">
        <f t="shared" si="154"/>
        <v>1178705.0283536012</v>
      </c>
      <c r="X53" s="41">
        <f t="shared" si="154"/>
        <v>1163879.9662513263</v>
      </c>
      <c r="Y53" s="41">
        <f t="shared" si="154"/>
        <v>1149054.9041490513</v>
      </c>
      <c r="Z53" s="41">
        <f t="shared" si="154"/>
        <v>1134229.8420467763</v>
      </c>
      <c r="AA53" s="41">
        <f t="shared" si="154"/>
        <v>1119404.7799445014</v>
      </c>
      <c r="AB53" s="41">
        <f t="shared" si="154"/>
        <v>1104579.7178422264</v>
      </c>
      <c r="AC53" s="41">
        <f t="shared" si="154"/>
        <v>1089754.6557399514</v>
      </c>
      <c r="AD53" s="41">
        <f t="shared" si="154"/>
        <v>1074929.5936376764</v>
      </c>
      <c r="AE53" s="41">
        <f t="shared" si="154"/>
        <v>1060104.5315354015</v>
      </c>
      <c r="AF53" s="41">
        <f t="shared" si="154"/>
        <v>1045279.4694331266</v>
      </c>
      <c r="AG53" s="41">
        <f t="shared" si="154"/>
        <v>1030454.4073308518</v>
      </c>
      <c r="AH53" s="41">
        <f t="shared" si="154"/>
        <v>1015629.3452285769</v>
      </c>
      <c r="AI53" s="41">
        <f t="shared" si="154"/>
        <v>1000804.2831263021</v>
      </c>
      <c r="AJ53" s="41">
        <f t="shared" si="154"/>
        <v>985979.22102402721</v>
      </c>
      <c r="AK53" s="41">
        <f t="shared" si="154"/>
        <v>971154.15892175236</v>
      </c>
      <c r="AL53" s="41">
        <f t="shared" si="154"/>
        <v>956329.09681947751</v>
      </c>
      <c r="AM53" s="41">
        <f t="shared" si="154"/>
        <v>941504.03471720265</v>
      </c>
      <c r="AN53" s="41">
        <f t="shared" si="154"/>
        <v>926678.9726149278</v>
      </c>
      <c r="AO53" s="41">
        <f t="shared" si="154"/>
        <v>911853.91051265295</v>
      </c>
      <c r="AP53" s="41">
        <f t="shared" si="154"/>
        <v>897028.84841037809</v>
      </c>
      <c r="AQ53" s="41">
        <f t="shared" si="154"/>
        <v>882203.78630810324</v>
      </c>
      <c r="AR53" s="41">
        <f t="shared" si="154"/>
        <v>867378.72420582839</v>
      </c>
      <c r="AS53" s="41">
        <f t="shared" si="154"/>
        <v>852553.66210355354</v>
      </c>
      <c r="AT53" s="41">
        <f t="shared" si="154"/>
        <v>837728.60000127868</v>
      </c>
      <c r="AU53" s="41">
        <f t="shared" si="154"/>
        <v>822903.53789900383</v>
      </c>
      <c r="AV53" s="41">
        <f t="shared" si="154"/>
        <v>808078.47579672898</v>
      </c>
      <c r="AW53" s="41">
        <f t="shared" si="154"/>
        <v>793253.41369445412</v>
      </c>
    </row>
    <row r="54" spans="1:49" x14ac:dyDescent="0.35">
      <c r="A54" s="38" t="s">
        <v>109</v>
      </c>
      <c r="B54" s="41">
        <f>+IF(B50&lt;0,-B50,0)</f>
        <v>318945.59499999997</v>
      </c>
      <c r="C54" s="41">
        <f t="shared" ref="C54:AW54" si="155">+IF(C50&lt;0,-C50,0)</f>
        <v>311890.46259999997</v>
      </c>
      <c r="D54" s="41">
        <f t="shared" si="155"/>
        <v>311890.46259999997</v>
      </c>
      <c r="E54" s="41">
        <f t="shared" si="155"/>
        <v>289922.34464499995</v>
      </c>
      <c r="F54" s="41">
        <f t="shared" si="155"/>
        <v>289922.34464499995</v>
      </c>
      <c r="G54" s="41">
        <f t="shared" si="155"/>
        <v>0</v>
      </c>
      <c r="H54" s="41">
        <f t="shared" si="155"/>
        <v>0</v>
      </c>
      <c r="I54" s="41">
        <f t="shared" si="155"/>
        <v>0</v>
      </c>
      <c r="J54" s="41">
        <f t="shared" si="155"/>
        <v>0</v>
      </c>
      <c r="K54" s="41">
        <f t="shared" si="155"/>
        <v>0</v>
      </c>
      <c r="L54" s="41">
        <f t="shared" si="155"/>
        <v>0</v>
      </c>
      <c r="M54" s="41">
        <f t="shared" si="155"/>
        <v>0</v>
      </c>
      <c r="N54" s="41">
        <f t="shared" si="155"/>
        <v>0</v>
      </c>
      <c r="O54" s="41">
        <f t="shared" si="155"/>
        <v>0</v>
      </c>
      <c r="P54" s="41">
        <f t="shared" si="155"/>
        <v>0</v>
      </c>
      <c r="Q54" s="41">
        <f t="shared" si="155"/>
        <v>0</v>
      </c>
      <c r="R54" s="41">
        <f t="shared" si="155"/>
        <v>0</v>
      </c>
      <c r="S54" s="41">
        <f t="shared" si="155"/>
        <v>0</v>
      </c>
      <c r="T54" s="41">
        <f t="shared" si="155"/>
        <v>0</v>
      </c>
      <c r="U54" s="41">
        <f t="shared" si="155"/>
        <v>0</v>
      </c>
      <c r="V54" s="41">
        <f t="shared" si="155"/>
        <v>0</v>
      </c>
      <c r="W54" s="41">
        <f t="shared" si="155"/>
        <v>0</v>
      </c>
      <c r="X54" s="41">
        <f t="shared" si="155"/>
        <v>0</v>
      </c>
      <c r="Y54" s="41">
        <f t="shared" si="155"/>
        <v>0</v>
      </c>
      <c r="Z54" s="41">
        <f t="shared" si="155"/>
        <v>0</v>
      </c>
      <c r="AA54" s="41">
        <f t="shared" si="155"/>
        <v>0</v>
      </c>
      <c r="AB54" s="41">
        <f t="shared" si="155"/>
        <v>0</v>
      </c>
      <c r="AC54" s="41">
        <f t="shared" si="155"/>
        <v>0</v>
      </c>
      <c r="AD54" s="41">
        <f t="shared" si="155"/>
        <v>0</v>
      </c>
      <c r="AE54" s="41">
        <f t="shared" si="155"/>
        <v>0</v>
      </c>
      <c r="AF54" s="41">
        <f t="shared" si="155"/>
        <v>0</v>
      </c>
      <c r="AG54" s="41">
        <f t="shared" si="155"/>
        <v>0</v>
      </c>
      <c r="AH54" s="41">
        <f t="shared" si="155"/>
        <v>0</v>
      </c>
      <c r="AI54" s="41">
        <f t="shared" si="155"/>
        <v>0</v>
      </c>
      <c r="AJ54" s="41">
        <f t="shared" si="155"/>
        <v>0</v>
      </c>
      <c r="AK54" s="41">
        <f t="shared" si="155"/>
        <v>0</v>
      </c>
      <c r="AL54" s="41">
        <f t="shared" si="155"/>
        <v>0</v>
      </c>
      <c r="AM54" s="41">
        <f t="shared" si="155"/>
        <v>0</v>
      </c>
      <c r="AN54" s="41">
        <f t="shared" si="155"/>
        <v>0</v>
      </c>
      <c r="AO54" s="41">
        <f t="shared" si="155"/>
        <v>0</v>
      </c>
      <c r="AP54" s="41">
        <f t="shared" si="155"/>
        <v>0</v>
      </c>
      <c r="AQ54" s="41">
        <f t="shared" si="155"/>
        <v>0</v>
      </c>
      <c r="AR54" s="41">
        <f t="shared" si="155"/>
        <v>0</v>
      </c>
      <c r="AS54" s="41">
        <f t="shared" si="155"/>
        <v>0</v>
      </c>
      <c r="AT54" s="41">
        <f t="shared" si="155"/>
        <v>0</v>
      </c>
      <c r="AU54" s="41">
        <f t="shared" si="155"/>
        <v>0</v>
      </c>
      <c r="AV54" s="41">
        <f t="shared" si="155"/>
        <v>0</v>
      </c>
      <c r="AW54" s="41">
        <f t="shared" si="155"/>
        <v>0</v>
      </c>
    </row>
    <row r="55" spans="1:49" x14ac:dyDescent="0.35">
      <c r="A55" s="38" t="s">
        <v>110</v>
      </c>
      <c r="B55" s="41">
        <f>0.3*MAX(B50,0)</f>
        <v>0</v>
      </c>
      <c r="C55" s="41">
        <f t="shared" ref="C55:AW55" si="156">0.3*MAX(C50,0)</f>
        <v>0</v>
      </c>
      <c r="D55" s="41">
        <f t="shared" si="156"/>
        <v>0</v>
      </c>
      <c r="E55" s="41">
        <f t="shared" si="156"/>
        <v>0</v>
      </c>
      <c r="F55" s="41">
        <f t="shared" si="156"/>
        <v>0</v>
      </c>
      <c r="G55" s="41">
        <f t="shared" si="156"/>
        <v>50380.124602274831</v>
      </c>
      <c r="H55" s="41">
        <f t="shared" si="156"/>
        <v>50380.124602274831</v>
      </c>
      <c r="I55" s="41">
        <f t="shared" si="156"/>
        <v>50380.124602274831</v>
      </c>
      <c r="J55" s="41">
        <f t="shared" si="156"/>
        <v>14825.062102274853</v>
      </c>
      <c r="K55" s="41">
        <f t="shared" si="156"/>
        <v>14825.062102274853</v>
      </c>
      <c r="L55" s="41">
        <f t="shared" si="156"/>
        <v>14825.062102274853</v>
      </c>
      <c r="M55" s="41">
        <f t="shared" si="156"/>
        <v>14825.062102274853</v>
      </c>
      <c r="N55" s="41">
        <f t="shared" si="156"/>
        <v>14825.062102274853</v>
      </c>
      <c r="O55" s="41">
        <f t="shared" si="156"/>
        <v>14825.062102274853</v>
      </c>
      <c r="P55" s="41">
        <f t="shared" si="156"/>
        <v>14825.062102274853</v>
      </c>
      <c r="Q55" s="41">
        <f t="shared" si="156"/>
        <v>14825.062102274853</v>
      </c>
      <c r="R55" s="41">
        <f t="shared" si="156"/>
        <v>14825.062102274853</v>
      </c>
      <c r="S55" s="41">
        <f t="shared" si="156"/>
        <v>14825.062102274853</v>
      </c>
      <c r="T55" s="41">
        <f t="shared" si="156"/>
        <v>14825.062102274853</v>
      </c>
      <c r="U55" s="41">
        <f t="shared" si="156"/>
        <v>14825.062102274853</v>
      </c>
      <c r="V55" s="41">
        <f t="shared" si="156"/>
        <v>14825.062102274853</v>
      </c>
      <c r="W55" s="41">
        <f t="shared" si="156"/>
        <v>14825.062102274853</v>
      </c>
      <c r="X55" s="41">
        <f t="shared" si="156"/>
        <v>14825.062102274853</v>
      </c>
      <c r="Y55" s="41">
        <f t="shared" si="156"/>
        <v>14825.062102274853</v>
      </c>
      <c r="Z55" s="41">
        <f t="shared" si="156"/>
        <v>14825.062102274853</v>
      </c>
      <c r="AA55" s="41">
        <f t="shared" si="156"/>
        <v>14825.062102274853</v>
      </c>
      <c r="AB55" s="41">
        <f t="shared" si="156"/>
        <v>14825.062102274853</v>
      </c>
      <c r="AC55" s="41">
        <f t="shared" si="156"/>
        <v>14825.062102274853</v>
      </c>
      <c r="AD55" s="41">
        <f t="shared" si="156"/>
        <v>14825.062102274853</v>
      </c>
      <c r="AE55" s="41">
        <f t="shared" si="156"/>
        <v>14825.062102274853</v>
      </c>
      <c r="AF55" s="41">
        <f t="shared" si="156"/>
        <v>14825.062102274853</v>
      </c>
      <c r="AG55" s="41">
        <f t="shared" si="156"/>
        <v>14825.062102274853</v>
      </c>
      <c r="AH55" s="41">
        <f t="shared" si="156"/>
        <v>14825.062102274853</v>
      </c>
      <c r="AI55" s="41">
        <f t="shared" si="156"/>
        <v>14825.062102274853</v>
      </c>
      <c r="AJ55" s="41">
        <f t="shared" si="156"/>
        <v>14825.062102274853</v>
      </c>
      <c r="AK55" s="41">
        <f t="shared" si="156"/>
        <v>14825.062102274853</v>
      </c>
      <c r="AL55" s="41">
        <f t="shared" si="156"/>
        <v>14825.062102274853</v>
      </c>
      <c r="AM55" s="41">
        <f t="shared" si="156"/>
        <v>14825.062102274853</v>
      </c>
      <c r="AN55" s="41">
        <f t="shared" si="156"/>
        <v>14825.062102274853</v>
      </c>
      <c r="AO55" s="41">
        <f t="shared" si="156"/>
        <v>14825.062102274853</v>
      </c>
      <c r="AP55" s="41">
        <f t="shared" si="156"/>
        <v>14825.062102274853</v>
      </c>
      <c r="AQ55" s="41">
        <f t="shared" si="156"/>
        <v>14825.062102274853</v>
      </c>
      <c r="AR55" s="41">
        <f t="shared" si="156"/>
        <v>14825.062102274853</v>
      </c>
      <c r="AS55" s="41">
        <f t="shared" si="156"/>
        <v>14825.062102274853</v>
      </c>
      <c r="AT55" s="41">
        <f t="shared" si="156"/>
        <v>14825.062102274853</v>
      </c>
      <c r="AU55" s="41">
        <f t="shared" si="156"/>
        <v>14825.062102274853</v>
      </c>
      <c r="AV55" s="41">
        <f t="shared" si="156"/>
        <v>14825.062102274853</v>
      </c>
      <c r="AW55" s="41">
        <f t="shared" si="156"/>
        <v>14825.062102274853</v>
      </c>
    </row>
    <row r="56" spans="1:49" x14ac:dyDescent="0.35">
      <c r="A56" s="38" t="s">
        <v>111</v>
      </c>
      <c r="B56" s="41">
        <f>MIN(SUM(B53:B54),B55)</f>
        <v>0</v>
      </c>
      <c r="C56" s="41">
        <f t="shared" ref="C56" si="157">MIN(SUM(C53:C54),C55)</f>
        <v>0</v>
      </c>
      <c r="D56" s="41">
        <f t="shared" ref="D56" si="158">MIN(SUM(D53:D54),D55)</f>
        <v>0</v>
      </c>
      <c r="E56" s="41">
        <f t="shared" ref="E56" si="159">MIN(SUM(E53:E54),E55)</f>
        <v>0</v>
      </c>
      <c r="F56" s="41">
        <f t="shared" ref="F56" si="160">MIN(SUM(F53:F54),F55)</f>
        <v>0</v>
      </c>
      <c r="G56" s="41">
        <f t="shared" ref="G56" si="161">MIN(SUM(G53:G54),G55)</f>
        <v>50380.124602274831</v>
      </c>
      <c r="H56" s="41">
        <f t="shared" ref="H56" si="162">MIN(SUM(H53:H54),H55)</f>
        <v>50380.124602274831</v>
      </c>
      <c r="I56" s="41">
        <f t="shared" ref="I56" si="163">MIN(SUM(I53:I54),I55)</f>
        <v>50380.124602274831</v>
      </c>
      <c r="J56" s="41">
        <f t="shared" ref="J56" si="164">MIN(SUM(J53:J54),J55)</f>
        <v>14825.062102274853</v>
      </c>
      <c r="K56" s="41">
        <f t="shared" ref="K56" si="165">MIN(SUM(K53:K54),K55)</f>
        <v>14825.062102274853</v>
      </c>
      <c r="L56" s="41">
        <f t="shared" ref="L56" si="166">MIN(SUM(L53:L54),L55)</f>
        <v>14825.062102274853</v>
      </c>
      <c r="M56" s="41">
        <f t="shared" ref="M56" si="167">MIN(SUM(M53:M54),M55)</f>
        <v>14825.062102274853</v>
      </c>
      <c r="N56" s="41">
        <f t="shared" ref="N56" si="168">MIN(SUM(N53:N54),N55)</f>
        <v>14825.062102274853</v>
      </c>
      <c r="O56" s="41">
        <f t="shared" ref="O56" si="169">MIN(SUM(O53:O54),O55)</f>
        <v>14825.062102274853</v>
      </c>
      <c r="P56" s="41">
        <f t="shared" ref="P56" si="170">MIN(SUM(P53:P54),P55)</f>
        <v>14825.062102274853</v>
      </c>
      <c r="Q56" s="41">
        <f t="shared" ref="Q56" si="171">MIN(SUM(Q53:Q54),Q55)</f>
        <v>14825.062102274853</v>
      </c>
      <c r="R56" s="41">
        <f t="shared" ref="R56" si="172">MIN(SUM(R53:R54),R55)</f>
        <v>14825.062102274853</v>
      </c>
      <c r="S56" s="41">
        <f t="shared" ref="S56" si="173">MIN(SUM(S53:S54),S55)</f>
        <v>14825.062102274853</v>
      </c>
      <c r="T56" s="41">
        <f t="shared" ref="T56" si="174">MIN(SUM(T53:T54),T55)</f>
        <v>14825.062102274853</v>
      </c>
      <c r="U56" s="41">
        <f t="shared" ref="U56" si="175">MIN(SUM(U53:U54),U55)</f>
        <v>14825.062102274853</v>
      </c>
      <c r="V56" s="41">
        <f t="shared" ref="V56" si="176">MIN(SUM(V53:V54),V55)</f>
        <v>14825.062102274853</v>
      </c>
      <c r="W56" s="41">
        <f t="shared" ref="W56" si="177">MIN(SUM(W53:W54),W55)</f>
        <v>14825.062102274853</v>
      </c>
      <c r="X56" s="41">
        <f t="shared" ref="X56" si="178">MIN(SUM(X53:X54),X55)</f>
        <v>14825.062102274853</v>
      </c>
      <c r="Y56" s="41">
        <f t="shared" ref="Y56" si="179">MIN(SUM(Y53:Y54),Y55)</f>
        <v>14825.062102274853</v>
      </c>
      <c r="Z56" s="41">
        <f t="shared" ref="Z56" si="180">MIN(SUM(Z53:Z54),Z55)</f>
        <v>14825.062102274853</v>
      </c>
      <c r="AA56" s="41">
        <f t="shared" ref="AA56" si="181">MIN(SUM(AA53:AA54),AA55)</f>
        <v>14825.062102274853</v>
      </c>
      <c r="AB56" s="41">
        <f t="shared" ref="AB56" si="182">MIN(SUM(AB53:AB54),AB55)</f>
        <v>14825.062102274853</v>
      </c>
      <c r="AC56" s="41">
        <f t="shared" ref="AC56" si="183">MIN(SUM(AC53:AC54),AC55)</f>
        <v>14825.062102274853</v>
      </c>
      <c r="AD56" s="41">
        <f t="shared" ref="AD56" si="184">MIN(SUM(AD53:AD54),AD55)</f>
        <v>14825.062102274853</v>
      </c>
      <c r="AE56" s="41">
        <f t="shared" ref="AE56" si="185">MIN(SUM(AE53:AE54),AE55)</f>
        <v>14825.062102274853</v>
      </c>
      <c r="AF56" s="41">
        <f t="shared" ref="AF56" si="186">MIN(SUM(AF53:AF54),AF55)</f>
        <v>14825.062102274853</v>
      </c>
      <c r="AG56" s="41">
        <f t="shared" ref="AG56" si="187">MIN(SUM(AG53:AG54),AG55)</f>
        <v>14825.062102274853</v>
      </c>
      <c r="AH56" s="41">
        <f t="shared" ref="AH56" si="188">MIN(SUM(AH53:AH54),AH55)</f>
        <v>14825.062102274853</v>
      </c>
      <c r="AI56" s="41">
        <f t="shared" ref="AI56" si="189">MIN(SUM(AI53:AI54),AI55)</f>
        <v>14825.062102274853</v>
      </c>
      <c r="AJ56" s="41">
        <f t="shared" ref="AJ56" si="190">MIN(SUM(AJ53:AJ54),AJ55)</f>
        <v>14825.062102274853</v>
      </c>
      <c r="AK56" s="41">
        <f t="shared" ref="AK56" si="191">MIN(SUM(AK53:AK54),AK55)</f>
        <v>14825.062102274853</v>
      </c>
      <c r="AL56" s="41">
        <f t="shared" ref="AL56" si="192">MIN(SUM(AL53:AL54),AL55)</f>
        <v>14825.062102274853</v>
      </c>
      <c r="AM56" s="41">
        <f t="shared" ref="AM56" si="193">MIN(SUM(AM53:AM54),AM55)</f>
        <v>14825.062102274853</v>
      </c>
      <c r="AN56" s="41">
        <f t="shared" ref="AN56" si="194">MIN(SUM(AN53:AN54),AN55)</f>
        <v>14825.062102274853</v>
      </c>
      <c r="AO56" s="41">
        <f t="shared" ref="AO56" si="195">MIN(SUM(AO53:AO54),AO55)</f>
        <v>14825.062102274853</v>
      </c>
      <c r="AP56" s="41">
        <f t="shared" ref="AP56" si="196">MIN(SUM(AP53:AP54),AP55)</f>
        <v>14825.062102274853</v>
      </c>
      <c r="AQ56" s="41">
        <f t="shared" ref="AQ56" si="197">MIN(SUM(AQ53:AQ54),AQ55)</f>
        <v>14825.062102274853</v>
      </c>
      <c r="AR56" s="41">
        <f t="shared" ref="AR56" si="198">MIN(SUM(AR53:AR54),AR55)</f>
        <v>14825.062102274853</v>
      </c>
      <c r="AS56" s="41">
        <f t="shared" ref="AS56" si="199">MIN(SUM(AS53:AS54),AS55)</f>
        <v>14825.062102274853</v>
      </c>
      <c r="AT56" s="41">
        <f t="shared" ref="AT56" si="200">MIN(SUM(AT53:AT54),AT55)</f>
        <v>14825.062102274853</v>
      </c>
      <c r="AU56" s="41">
        <f t="shared" ref="AU56" si="201">MIN(SUM(AU53:AU54),AU55)</f>
        <v>14825.062102274853</v>
      </c>
      <c r="AV56" s="41">
        <f t="shared" ref="AV56" si="202">MIN(SUM(AV53:AV54),AV55)</f>
        <v>14825.062102274853</v>
      </c>
      <c r="AW56" s="41">
        <f t="shared" ref="AW56" si="203">MIN(SUM(AW53:AW54),AW55)</f>
        <v>14825.062102274853</v>
      </c>
    </row>
    <row r="57" spans="1:49" x14ac:dyDescent="0.35">
      <c r="A57" s="38" t="s">
        <v>112</v>
      </c>
      <c r="B57" s="41">
        <f>+B53+B54-B56</f>
        <v>318945.59499999997</v>
      </c>
      <c r="C57" s="41">
        <f t="shared" ref="C57" si="204">+C53+C54-C56</f>
        <v>630836.05759999994</v>
      </c>
      <c r="D57" s="41">
        <f t="shared" ref="D57" si="205">+D53+D54-D56</f>
        <v>942726.52019999991</v>
      </c>
      <c r="E57" s="41">
        <f t="shared" ref="E57" si="206">+E53+E54-E56</f>
        <v>1232648.8648449997</v>
      </c>
      <c r="F57" s="41">
        <f t="shared" ref="F57" si="207">+F53+F54-F56</f>
        <v>1522571.2094899998</v>
      </c>
      <c r="G57" s="41">
        <f t="shared" ref="G57" si="208">+G53+G54-G56</f>
        <v>1472191.0848877251</v>
      </c>
      <c r="H57" s="41">
        <f t="shared" ref="H57" si="209">+H53+H54-H56</f>
        <v>1421810.9602854503</v>
      </c>
      <c r="I57" s="41">
        <f t="shared" ref="I57" si="210">+I53+I54-I56</f>
        <v>1371430.8356831756</v>
      </c>
      <c r="J57" s="41">
        <f t="shared" ref="J57" si="211">+J53+J54-J56</f>
        <v>1356605.7735809009</v>
      </c>
      <c r="K57" s="41">
        <f t="shared" ref="K57" si="212">+K53+K54-K56</f>
        <v>1341780.7114786259</v>
      </c>
      <c r="L57" s="41">
        <f t="shared" ref="L57" si="213">+L53+L54-L56</f>
        <v>1326955.6493763509</v>
      </c>
      <c r="M57" s="41">
        <f t="shared" ref="M57" si="214">+M53+M54-M56</f>
        <v>1312130.587274076</v>
      </c>
      <c r="N57" s="41">
        <f t="shared" ref="N57" si="215">+N53+N54-N56</f>
        <v>1297305.525171801</v>
      </c>
      <c r="O57" s="41">
        <f t="shared" ref="O57" si="216">+O53+O54-O56</f>
        <v>1282480.463069526</v>
      </c>
      <c r="P57" s="41">
        <f t="shared" ref="P57" si="217">+P53+P54-P56</f>
        <v>1267655.400967251</v>
      </c>
      <c r="Q57" s="41">
        <f t="shared" ref="Q57" si="218">+Q53+Q54-Q56</f>
        <v>1252830.3388649761</v>
      </c>
      <c r="R57" s="41">
        <f t="shared" ref="R57" si="219">+R53+R54-R56</f>
        <v>1238005.2767627011</v>
      </c>
      <c r="S57" s="41">
        <f t="shared" ref="S57" si="220">+S53+S54-S56</f>
        <v>1223180.2146604261</v>
      </c>
      <c r="T57" s="41">
        <f t="shared" ref="T57" si="221">+T53+T54-T56</f>
        <v>1208355.1525581512</v>
      </c>
      <c r="U57" s="41">
        <f t="shared" ref="U57" si="222">+U53+U54-U56</f>
        <v>1193530.0904558762</v>
      </c>
      <c r="V57" s="41">
        <f t="shared" ref="V57" si="223">+V53+V54-V56</f>
        <v>1178705.0283536012</v>
      </c>
      <c r="W57" s="41">
        <f t="shared" ref="W57" si="224">+W53+W54-W56</f>
        <v>1163879.9662513263</v>
      </c>
      <c r="X57" s="41">
        <f t="shared" ref="X57" si="225">+X53+X54-X56</f>
        <v>1149054.9041490513</v>
      </c>
      <c r="Y57" s="41">
        <f t="shared" ref="Y57" si="226">+Y53+Y54-Y56</f>
        <v>1134229.8420467763</v>
      </c>
      <c r="Z57" s="41">
        <f t="shared" ref="Z57" si="227">+Z53+Z54-Z56</f>
        <v>1119404.7799445014</v>
      </c>
      <c r="AA57" s="41">
        <f t="shared" ref="AA57" si="228">+AA53+AA54-AA56</f>
        <v>1104579.7178422264</v>
      </c>
      <c r="AB57" s="41">
        <f t="shared" ref="AB57" si="229">+AB53+AB54-AB56</f>
        <v>1089754.6557399514</v>
      </c>
      <c r="AC57" s="41">
        <f t="shared" ref="AC57" si="230">+AC53+AC54-AC56</f>
        <v>1074929.5936376764</v>
      </c>
      <c r="AD57" s="41">
        <f t="shared" ref="AD57" si="231">+AD53+AD54-AD56</f>
        <v>1060104.5315354015</v>
      </c>
      <c r="AE57" s="41">
        <f t="shared" ref="AE57" si="232">+AE53+AE54-AE56</f>
        <v>1045279.4694331266</v>
      </c>
      <c r="AF57" s="41">
        <f t="shared" ref="AF57" si="233">+AF53+AF54-AF56</f>
        <v>1030454.4073308518</v>
      </c>
      <c r="AG57" s="41">
        <f t="shared" ref="AG57" si="234">+AG53+AG54-AG56</f>
        <v>1015629.3452285769</v>
      </c>
      <c r="AH57" s="41">
        <f t="shared" ref="AH57" si="235">+AH53+AH54-AH56</f>
        <v>1000804.2831263021</v>
      </c>
      <c r="AI57" s="41">
        <f t="shared" ref="AI57" si="236">+AI53+AI54-AI56</f>
        <v>985979.22102402721</v>
      </c>
      <c r="AJ57" s="41">
        <f t="shared" ref="AJ57" si="237">+AJ53+AJ54-AJ56</f>
        <v>971154.15892175236</v>
      </c>
      <c r="AK57" s="41">
        <f t="shared" ref="AK57" si="238">+AK53+AK54-AK56</f>
        <v>956329.09681947751</v>
      </c>
      <c r="AL57" s="41">
        <f t="shared" ref="AL57" si="239">+AL53+AL54-AL56</f>
        <v>941504.03471720265</v>
      </c>
      <c r="AM57" s="41">
        <f t="shared" ref="AM57" si="240">+AM53+AM54-AM56</f>
        <v>926678.9726149278</v>
      </c>
      <c r="AN57" s="41">
        <f t="shared" ref="AN57" si="241">+AN53+AN54-AN56</f>
        <v>911853.91051265295</v>
      </c>
      <c r="AO57" s="41">
        <f t="shared" ref="AO57" si="242">+AO53+AO54-AO56</f>
        <v>897028.84841037809</v>
      </c>
      <c r="AP57" s="41">
        <f t="shared" ref="AP57" si="243">+AP53+AP54-AP56</f>
        <v>882203.78630810324</v>
      </c>
      <c r="AQ57" s="41">
        <f t="shared" ref="AQ57" si="244">+AQ53+AQ54-AQ56</f>
        <v>867378.72420582839</v>
      </c>
      <c r="AR57" s="41">
        <f t="shared" ref="AR57" si="245">+AR53+AR54-AR56</f>
        <v>852553.66210355354</v>
      </c>
      <c r="AS57" s="41">
        <f t="shared" ref="AS57" si="246">+AS53+AS54-AS56</f>
        <v>837728.60000127868</v>
      </c>
      <c r="AT57" s="41">
        <f t="shared" ref="AT57" si="247">+AT53+AT54-AT56</f>
        <v>822903.53789900383</v>
      </c>
      <c r="AU57" s="41">
        <f t="shared" ref="AU57" si="248">+AU53+AU54-AU56</f>
        <v>808078.47579672898</v>
      </c>
      <c r="AV57" s="41">
        <f t="shared" ref="AV57" si="249">+AV53+AV54-AV56</f>
        <v>793253.41369445412</v>
      </c>
      <c r="AW57" s="41">
        <f t="shared" ref="AW57" si="250">+AW53+AW54-AW56</f>
        <v>778428.35159217927</v>
      </c>
    </row>
    <row r="58" spans="1:49" x14ac:dyDescent="0.35">
      <c r="A58" s="38"/>
      <c r="B58" s="38"/>
      <c r="C58" s="38"/>
      <c r="D58" s="38"/>
      <c r="E58" s="38"/>
      <c r="F58" s="38"/>
      <c r="G58" s="38"/>
    </row>
    <row r="59" spans="1:49" x14ac:dyDescent="0.35">
      <c r="A59" s="37" t="s">
        <v>122</v>
      </c>
      <c r="B59" s="38"/>
      <c r="C59" s="38"/>
      <c r="D59" s="38"/>
      <c r="E59" s="38"/>
      <c r="F59" s="38"/>
      <c r="G59" s="38"/>
    </row>
    <row r="60" spans="1:49" x14ac:dyDescent="0.35">
      <c r="A60" s="38" t="s">
        <v>123</v>
      </c>
      <c r="B60" s="41">
        <f>MAX(0,B50-B56)</f>
        <v>0</v>
      </c>
      <c r="C60" s="41">
        <f t="shared" ref="C60:AW60" si="251">MAX(0,C50-C56)</f>
        <v>0</v>
      </c>
      <c r="D60" s="41">
        <f t="shared" si="251"/>
        <v>0</v>
      </c>
      <c r="E60" s="41">
        <f t="shared" si="251"/>
        <v>0</v>
      </c>
      <c r="F60" s="41">
        <f t="shared" si="251"/>
        <v>0</v>
      </c>
      <c r="G60" s="41">
        <f t="shared" si="251"/>
        <v>117553.62407197463</v>
      </c>
      <c r="H60" s="41">
        <f t="shared" si="251"/>
        <v>117553.62407197463</v>
      </c>
      <c r="I60" s="41">
        <f t="shared" si="251"/>
        <v>117553.62407197463</v>
      </c>
      <c r="J60" s="41">
        <f t="shared" si="251"/>
        <v>34591.811571974657</v>
      </c>
      <c r="K60" s="41">
        <f t="shared" si="251"/>
        <v>34591.811571974657</v>
      </c>
      <c r="L60" s="41">
        <f t="shared" si="251"/>
        <v>34591.811571974657</v>
      </c>
      <c r="M60" s="41">
        <f t="shared" si="251"/>
        <v>34591.811571974657</v>
      </c>
      <c r="N60" s="41">
        <f t="shared" si="251"/>
        <v>34591.811571974657</v>
      </c>
      <c r="O60" s="41">
        <f t="shared" si="251"/>
        <v>34591.811571974657</v>
      </c>
      <c r="P60" s="41">
        <f t="shared" si="251"/>
        <v>34591.811571974657</v>
      </c>
      <c r="Q60" s="41">
        <f t="shared" si="251"/>
        <v>34591.811571974657</v>
      </c>
      <c r="R60" s="41">
        <f t="shared" si="251"/>
        <v>34591.811571974657</v>
      </c>
      <c r="S60" s="41">
        <f t="shared" si="251"/>
        <v>34591.811571974657</v>
      </c>
      <c r="T60" s="41">
        <f t="shared" si="251"/>
        <v>34591.811571974657</v>
      </c>
      <c r="U60" s="41">
        <f t="shared" si="251"/>
        <v>34591.811571974657</v>
      </c>
      <c r="V60" s="41">
        <f t="shared" si="251"/>
        <v>34591.811571974657</v>
      </c>
      <c r="W60" s="41">
        <f t="shared" si="251"/>
        <v>34591.811571974657</v>
      </c>
      <c r="X60" s="41">
        <f t="shared" si="251"/>
        <v>34591.811571974657</v>
      </c>
      <c r="Y60" s="41">
        <f t="shared" si="251"/>
        <v>34591.811571974657</v>
      </c>
      <c r="Z60" s="41">
        <f t="shared" si="251"/>
        <v>34591.811571974657</v>
      </c>
      <c r="AA60" s="41">
        <f t="shared" si="251"/>
        <v>34591.811571974657</v>
      </c>
      <c r="AB60" s="41">
        <f t="shared" si="251"/>
        <v>34591.811571974657</v>
      </c>
      <c r="AC60" s="41">
        <f t="shared" si="251"/>
        <v>34591.811571974657</v>
      </c>
      <c r="AD60" s="41">
        <f t="shared" si="251"/>
        <v>34591.811571974657</v>
      </c>
      <c r="AE60" s="41">
        <f t="shared" si="251"/>
        <v>34591.811571974657</v>
      </c>
      <c r="AF60" s="41">
        <f t="shared" si="251"/>
        <v>34591.811571974657</v>
      </c>
      <c r="AG60" s="41">
        <f t="shared" si="251"/>
        <v>34591.811571974657</v>
      </c>
      <c r="AH60" s="41">
        <f t="shared" si="251"/>
        <v>34591.811571974657</v>
      </c>
      <c r="AI60" s="41">
        <f t="shared" si="251"/>
        <v>34591.811571974657</v>
      </c>
      <c r="AJ60" s="41">
        <f t="shared" si="251"/>
        <v>34591.811571974657</v>
      </c>
      <c r="AK60" s="41">
        <f t="shared" si="251"/>
        <v>34591.811571974657</v>
      </c>
      <c r="AL60" s="41">
        <f t="shared" si="251"/>
        <v>34591.811571974657</v>
      </c>
      <c r="AM60" s="41">
        <f t="shared" si="251"/>
        <v>34591.811571974657</v>
      </c>
      <c r="AN60" s="41">
        <f t="shared" si="251"/>
        <v>34591.811571974657</v>
      </c>
      <c r="AO60" s="41">
        <f t="shared" si="251"/>
        <v>34591.811571974657</v>
      </c>
      <c r="AP60" s="41">
        <f t="shared" si="251"/>
        <v>34591.811571974657</v>
      </c>
      <c r="AQ60" s="41">
        <f t="shared" si="251"/>
        <v>34591.811571974657</v>
      </c>
      <c r="AR60" s="41">
        <f t="shared" si="251"/>
        <v>34591.811571974657</v>
      </c>
      <c r="AS60" s="41">
        <f t="shared" si="251"/>
        <v>34591.811571974657</v>
      </c>
      <c r="AT60" s="41">
        <f t="shared" si="251"/>
        <v>34591.811571974657</v>
      </c>
      <c r="AU60" s="41">
        <f t="shared" si="251"/>
        <v>34591.811571974657</v>
      </c>
      <c r="AV60" s="41">
        <f t="shared" si="251"/>
        <v>34591.811571974657</v>
      </c>
      <c r="AW60" s="41">
        <f t="shared" si="251"/>
        <v>34591.811571974657</v>
      </c>
    </row>
    <row r="61" spans="1:49" x14ac:dyDescent="0.35">
      <c r="A61" s="38"/>
      <c r="B61" s="38"/>
      <c r="C61" s="38"/>
      <c r="D61" s="38"/>
      <c r="E61" s="38"/>
      <c r="F61" s="38"/>
      <c r="G61" s="38"/>
    </row>
    <row r="62" spans="1:49" x14ac:dyDescent="0.35">
      <c r="A62" s="37" t="s">
        <v>124</v>
      </c>
      <c r="B62" s="38"/>
      <c r="C62" s="38"/>
      <c r="D62" s="38"/>
      <c r="E62" s="38"/>
      <c r="F62" s="38"/>
      <c r="G62" s="38"/>
    </row>
    <row r="63" spans="1:49" x14ac:dyDescent="0.35">
      <c r="A63" s="38" t="s">
        <v>125</v>
      </c>
      <c r="B63" s="41">
        <f>+MIN(B60,20000)*15%</f>
        <v>0</v>
      </c>
      <c r="C63" s="41">
        <f t="shared" ref="C63:AW63" si="252">+MIN(C60,20000)*15%</f>
        <v>0</v>
      </c>
      <c r="D63" s="41">
        <f t="shared" si="252"/>
        <v>0</v>
      </c>
      <c r="E63" s="41">
        <f t="shared" si="252"/>
        <v>0</v>
      </c>
      <c r="F63" s="41">
        <f t="shared" si="252"/>
        <v>0</v>
      </c>
      <c r="G63" s="41">
        <f t="shared" si="252"/>
        <v>3000</v>
      </c>
      <c r="H63" s="41">
        <f t="shared" si="252"/>
        <v>3000</v>
      </c>
      <c r="I63" s="41">
        <f t="shared" si="252"/>
        <v>3000</v>
      </c>
      <c r="J63" s="41">
        <f t="shared" si="252"/>
        <v>3000</v>
      </c>
      <c r="K63" s="41">
        <f t="shared" si="252"/>
        <v>3000</v>
      </c>
      <c r="L63" s="41">
        <f t="shared" si="252"/>
        <v>3000</v>
      </c>
      <c r="M63" s="41">
        <f t="shared" si="252"/>
        <v>3000</v>
      </c>
      <c r="N63" s="41">
        <f t="shared" si="252"/>
        <v>3000</v>
      </c>
      <c r="O63" s="41">
        <f t="shared" si="252"/>
        <v>3000</v>
      </c>
      <c r="P63" s="41">
        <f t="shared" si="252"/>
        <v>3000</v>
      </c>
      <c r="Q63" s="41">
        <f t="shared" si="252"/>
        <v>3000</v>
      </c>
      <c r="R63" s="41">
        <f t="shared" si="252"/>
        <v>3000</v>
      </c>
      <c r="S63" s="41">
        <f t="shared" si="252"/>
        <v>3000</v>
      </c>
      <c r="T63" s="41">
        <f t="shared" si="252"/>
        <v>3000</v>
      </c>
      <c r="U63" s="41">
        <f t="shared" si="252"/>
        <v>3000</v>
      </c>
      <c r="V63" s="41">
        <f t="shared" si="252"/>
        <v>3000</v>
      </c>
      <c r="W63" s="41">
        <f t="shared" si="252"/>
        <v>3000</v>
      </c>
      <c r="X63" s="41">
        <f t="shared" si="252"/>
        <v>3000</v>
      </c>
      <c r="Y63" s="41">
        <f t="shared" si="252"/>
        <v>3000</v>
      </c>
      <c r="Z63" s="41">
        <f t="shared" si="252"/>
        <v>3000</v>
      </c>
      <c r="AA63" s="41">
        <f t="shared" si="252"/>
        <v>3000</v>
      </c>
      <c r="AB63" s="41">
        <f t="shared" si="252"/>
        <v>3000</v>
      </c>
      <c r="AC63" s="41">
        <f t="shared" si="252"/>
        <v>3000</v>
      </c>
      <c r="AD63" s="41">
        <f t="shared" si="252"/>
        <v>3000</v>
      </c>
      <c r="AE63" s="41">
        <f t="shared" si="252"/>
        <v>3000</v>
      </c>
      <c r="AF63" s="41">
        <f t="shared" si="252"/>
        <v>3000</v>
      </c>
      <c r="AG63" s="41">
        <f t="shared" si="252"/>
        <v>3000</v>
      </c>
      <c r="AH63" s="41">
        <f t="shared" si="252"/>
        <v>3000</v>
      </c>
      <c r="AI63" s="41">
        <f t="shared" si="252"/>
        <v>3000</v>
      </c>
      <c r="AJ63" s="41">
        <f t="shared" si="252"/>
        <v>3000</v>
      </c>
      <c r="AK63" s="41">
        <f t="shared" si="252"/>
        <v>3000</v>
      </c>
      <c r="AL63" s="41">
        <f t="shared" si="252"/>
        <v>3000</v>
      </c>
      <c r="AM63" s="41">
        <f t="shared" si="252"/>
        <v>3000</v>
      </c>
      <c r="AN63" s="41">
        <f t="shared" si="252"/>
        <v>3000</v>
      </c>
      <c r="AO63" s="41">
        <f t="shared" si="252"/>
        <v>3000</v>
      </c>
      <c r="AP63" s="41">
        <f t="shared" si="252"/>
        <v>3000</v>
      </c>
      <c r="AQ63" s="41">
        <f t="shared" si="252"/>
        <v>3000</v>
      </c>
      <c r="AR63" s="41">
        <f t="shared" si="252"/>
        <v>3000</v>
      </c>
      <c r="AS63" s="41">
        <f t="shared" si="252"/>
        <v>3000</v>
      </c>
      <c r="AT63" s="41">
        <f t="shared" si="252"/>
        <v>3000</v>
      </c>
      <c r="AU63" s="41">
        <f t="shared" si="252"/>
        <v>3000</v>
      </c>
      <c r="AV63" s="41">
        <f t="shared" si="252"/>
        <v>3000</v>
      </c>
      <c r="AW63" s="41">
        <f t="shared" si="252"/>
        <v>3000</v>
      </c>
    </row>
    <row r="64" spans="1:49" x14ac:dyDescent="0.35">
      <c r="A64" s="38" t="s">
        <v>126</v>
      </c>
      <c r="B64" s="41">
        <f t="shared" ref="B64:D64" si="253">MAX(0,B60-20000)*10%</f>
        <v>0</v>
      </c>
      <c r="C64" s="41">
        <f t="shared" si="253"/>
        <v>0</v>
      </c>
      <c r="D64" s="41">
        <f t="shared" si="253"/>
        <v>0</v>
      </c>
      <c r="E64" s="41">
        <f>MAX(0,E60-20000)*10%</f>
        <v>0</v>
      </c>
      <c r="F64" s="41">
        <f t="shared" ref="F64:AW64" si="254">MAX(0,F60-20000)*10%</f>
        <v>0</v>
      </c>
      <c r="G64" s="41">
        <f t="shared" si="254"/>
        <v>9755.3624071974627</v>
      </c>
      <c r="H64" s="41">
        <f t="shared" si="254"/>
        <v>9755.3624071974627</v>
      </c>
      <c r="I64" s="41">
        <f t="shared" si="254"/>
        <v>9755.3624071974627</v>
      </c>
      <c r="J64" s="41">
        <f t="shared" si="254"/>
        <v>1459.1811571974658</v>
      </c>
      <c r="K64" s="41">
        <f t="shared" si="254"/>
        <v>1459.1811571974658</v>
      </c>
      <c r="L64" s="41">
        <f t="shared" si="254"/>
        <v>1459.1811571974658</v>
      </c>
      <c r="M64" s="41">
        <f t="shared" si="254"/>
        <v>1459.1811571974658</v>
      </c>
      <c r="N64" s="41">
        <f t="shared" si="254"/>
        <v>1459.1811571974658</v>
      </c>
      <c r="O64" s="41">
        <f t="shared" si="254"/>
        <v>1459.1811571974658</v>
      </c>
      <c r="P64" s="41">
        <f t="shared" si="254"/>
        <v>1459.1811571974658</v>
      </c>
      <c r="Q64" s="41">
        <f t="shared" si="254"/>
        <v>1459.1811571974658</v>
      </c>
      <c r="R64" s="41">
        <f t="shared" si="254"/>
        <v>1459.1811571974658</v>
      </c>
      <c r="S64" s="41">
        <f t="shared" si="254"/>
        <v>1459.1811571974658</v>
      </c>
      <c r="T64" s="41">
        <f t="shared" si="254"/>
        <v>1459.1811571974658</v>
      </c>
      <c r="U64" s="41">
        <f t="shared" si="254"/>
        <v>1459.1811571974658</v>
      </c>
      <c r="V64" s="41">
        <f t="shared" si="254"/>
        <v>1459.1811571974658</v>
      </c>
      <c r="W64" s="41">
        <f t="shared" si="254"/>
        <v>1459.1811571974658</v>
      </c>
      <c r="X64" s="41">
        <f t="shared" si="254"/>
        <v>1459.1811571974658</v>
      </c>
      <c r="Y64" s="41">
        <f t="shared" si="254"/>
        <v>1459.1811571974658</v>
      </c>
      <c r="Z64" s="41">
        <f t="shared" si="254"/>
        <v>1459.1811571974658</v>
      </c>
      <c r="AA64" s="41">
        <f t="shared" si="254"/>
        <v>1459.1811571974658</v>
      </c>
      <c r="AB64" s="41">
        <f t="shared" si="254"/>
        <v>1459.1811571974658</v>
      </c>
      <c r="AC64" s="41">
        <f t="shared" si="254"/>
        <v>1459.1811571974658</v>
      </c>
      <c r="AD64" s="41">
        <f t="shared" si="254"/>
        <v>1459.1811571974658</v>
      </c>
      <c r="AE64" s="41">
        <f t="shared" si="254"/>
        <v>1459.1811571974658</v>
      </c>
      <c r="AF64" s="41">
        <f t="shared" si="254"/>
        <v>1459.1811571974658</v>
      </c>
      <c r="AG64" s="41">
        <f t="shared" si="254"/>
        <v>1459.1811571974658</v>
      </c>
      <c r="AH64" s="41">
        <f t="shared" si="254"/>
        <v>1459.1811571974658</v>
      </c>
      <c r="AI64" s="41">
        <f t="shared" si="254"/>
        <v>1459.1811571974658</v>
      </c>
      <c r="AJ64" s="41">
        <f t="shared" si="254"/>
        <v>1459.1811571974658</v>
      </c>
      <c r="AK64" s="41">
        <f t="shared" si="254"/>
        <v>1459.1811571974658</v>
      </c>
      <c r="AL64" s="41">
        <f t="shared" si="254"/>
        <v>1459.1811571974658</v>
      </c>
      <c r="AM64" s="41">
        <f t="shared" si="254"/>
        <v>1459.1811571974658</v>
      </c>
      <c r="AN64" s="41">
        <f t="shared" si="254"/>
        <v>1459.1811571974658</v>
      </c>
      <c r="AO64" s="41">
        <f t="shared" si="254"/>
        <v>1459.1811571974658</v>
      </c>
      <c r="AP64" s="41">
        <f t="shared" si="254"/>
        <v>1459.1811571974658</v>
      </c>
      <c r="AQ64" s="41">
        <f t="shared" si="254"/>
        <v>1459.1811571974658</v>
      </c>
      <c r="AR64" s="41">
        <f t="shared" si="254"/>
        <v>1459.1811571974658</v>
      </c>
      <c r="AS64" s="41">
        <f t="shared" si="254"/>
        <v>1459.1811571974658</v>
      </c>
      <c r="AT64" s="41">
        <f t="shared" si="254"/>
        <v>1459.1811571974658</v>
      </c>
      <c r="AU64" s="41">
        <f t="shared" si="254"/>
        <v>1459.1811571974658</v>
      </c>
      <c r="AV64" s="41">
        <f t="shared" si="254"/>
        <v>1459.1811571974658</v>
      </c>
      <c r="AW64" s="41">
        <f t="shared" si="254"/>
        <v>1459.1811571974658</v>
      </c>
    </row>
    <row r="65" spans="1:49" x14ac:dyDescent="0.35">
      <c r="A65" s="38"/>
      <c r="B65" s="38"/>
      <c r="C65" s="38"/>
      <c r="D65" s="38"/>
      <c r="E65" s="38"/>
      <c r="F65" s="38"/>
      <c r="G65" s="38"/>
    </row>
    <row r="66" spans="1:49" x14ac:dyDescent="0.35">
      <c r="A66" s="37" t="s">
        <v>117</v>
      </c>
      <c r="B66" s="38"/>
      <c r="C66" s="38"/>
      <c r="D66" s="38"/>
      <c r="E66" s="38"/>
      <c r="F66" s="38"/>
      <c r="G66" s="38"/>
    </row>
    <row r="67" spans="1:49" x14ac:dyDescent="0.35">
      <c r="A67" s="38" t="s">
        <v>127</v>
      </c>
      <c r="B67" s="41">
        <f>-SUM(B63:B64)</f>
        <v>0</v>
      </c>
      <c r="C67" s="41">
        <f t="shared" ref="C67:AW67" si="255">-SUM(C63:C64)</f>
        <v>0</v>
      </c>
      <c r="D67" s="41">
        <f t="shared" si="255"/>
        <v>0</v>
      </c>
      <c r="E67" s="41">
        <f t="shared" si="255"/>
        <v>0</v>
      </c>
      <c r="F67" s="41">
        <f t="shared" si="255"/>
        <v>0</v>
      </c>
      <c r="G67" s="41">
        <f t="shared" si="255"/>
        <v>-12755.362407197463</v>
      </c>
      <c r="H67" s="41">
        <f t="shared" si="255"/>
        <v>-12755.362407197463</v>
      </c>
      <c r="I67" s="41">
        <f t="shared" si="255"/>
        <v>-12755.362407197463</v>
      </c>
      <c r="J67" s="41">
        <f t="shared" si="255"/>
        <v>-4459.1811571974658</v>
      </c>
      <c r="K67" s="41">
        <f t="shared" si="255"/>
        <v>-4459.1811571974658</v>
      </c>
      <c r="L67" s="41">
        <f t="shared" si="255"/>
        <v>-4459.1811571974658</v>
      </c>
      <c r="M67" s="41">
        <f t="shared" si="255"/>
        <v>-4459.1811571974658</v>
      </c>
      <c r="N67" s="41">
        <f t="shared" si="255"/>
        <v>-4459.1811571974658</v>
      </c>
      <c r="O67" s="41">
        <f t="shared" si="255"/>
        <v>-4459.1811571974658</v>
      </c>
      <c r="P67" s="41">
        <f t="shared" si="255"/>
        <v>-4459.1811571974658</v>
      </c>
      <c r="Q67" s="41">
        <f t="shared" si="255"/>
        <v>-4459.1811571974658</v>
      </c>
      <c r="R67" s="41">
        <f t="shared" si="255"/>
        <v>-4459.1811571974658</v>
      </c>
      <c r="S67" s="41">
        <f t="shared" si="255"/>
        <v>-4459.1811571974658</v>
      </c>
      <c r="T67" s="41">
        <f t="shared" si="255"/>
        <v>-4459.1811571974658</v>
      </c>
      <c r="U67" s="41">
        <f t="shared" si="255"/>
        <v>-4459.1811571974658</v>
      </c>
      <c r="V67" s="41">
        <f t="shared" si="255"/>
        <v>-4459.1811571974658</v>
      </c>
      <c r="W67" s="41">
        <f t="shared" si="255"/>
        <v>-4459.1811571974658</v>
      </c>
      <c r="X67" s="41">
        <f t="shared" si="255"/>
        <v>-4459.1811571974658</v>
      </c>
      <c r="Y67" s="41">
        <f t="shared" si="255"/>
        <v>-4459.1811571974658</v>
      </c>
      <c r="Z67" s="41">
        <f t="shared" si="255"/>
        <v>-4459.1811571974658</v>
      </c>
      <c r="AA67" s="41">
        <f t="shared" si="255"/>
        <v>-4459.1811571974658</v>
      </c>
      <c r="AB67" s="41">
        <f t="shared" si="255"/>
        <v>-4459.1811571974658</v>
      </c>
      <c r="AC67" s="41">
        <f t="shared" si="255"/>
        <v>-4459.1811571974658</v>
      </c>
      <c r="AD67" s="41">
        <f t="shared" si="255"/>
        <v>-4459.1811571974658</v>
      </c>
      <c r="AE67" s="41">
        <f t="shared" si="255"/>
        <v>-4459.1811571974658</v>
      </c>
      <c r="AF67" s="41">
        <f t="shared" si="255"/>
        <v>-4459.1811571974658</v>
      </c>
      <c r="AG67" s="41">
        <f t="shared" si="255"/>
        <v>-4459.1811571974658</v>
      </c>
      <c r="AH67" s="41">
        <f t="shared" si="255"/>
        <v>-4459.1811571974658</v>
      </c>
      <c r="AI67" s="41">
        <f t="shared" si="255"/>
        <v>-4459.1811571974658</v>
      </c>
      <c r="AJ67" s="41">
        <f t="shared" si="255"/>
        <v>-4459.1811571974658</v>
      </c>
      <c r="AK67" s="41">
        <f t="shared" si="255"/>
        <v>-4459.1811571974658</v>
      </c>
      <c r="AL67" s="41">
        <f t="shared" si="255"/>
        <v>-4459.1811571974658</v>
      </c>
      <c r="AM67" s="41">
        <f t="shared" si="255"/>
        <v>-4459.1811571974658</v>
      </c>
      <c r="AN67" s="41">
        <f t="shared" si="255"/>
        <v>-4459.1811571974658</v>
      </c>
      <c r="AO67" s="41">
        <f t="shared" si="255"/>
        <v>-4459.1811571974658</v>
      </c>
      <c r="AP67" s="41">
        <f t="shared" si="255"/>
        <v>-4459.1811571974658</v>
      </c>
      <c r="AQ67" s="41">
        <f t="shared" si="255"/>
        <v>-4459.1811571974658</v>
      </c>
      <c r="AR67" s="41">
        <f t="shared" si="255"/>
        <v>-4459.1811571974658</v>
      </c>
      <c r="AS67" s="41">
        <f t="shared" si="255"/>
        <v>-4459.1811571974658</v>
      </c>
      <c r="AT67" s="41">
        <f t="shared" si="255"/>
        <v>-4459.1811571974658</v>
      </c>
      <c r="AU67" s="41">
        <f t="shared" si="255"/>
        <v>-4459.1811571974658</v>
      </c>
      <c r="AV67" s="41">
        <f t="shared" si="255"/>
        <v>-4459.1811571974658</v>
      </c>
      <c r="AW67" s="41">
        <f t="shared" si="255"/>
        <v>-4459.1811571974658</v>
      </c>
    </row>
    <row r="68" spans="1:49" x14ac:dyDescent="0.35">
      <c r="A68" s="38" t="s">
        <v>177</v>
      </c>
      <c r="B68" s="41">
        <f>B67+B38</f>
        <v>0</v>
      </c>
      <c r="C68" s="41">
        <f t="shared" ref="C68:AW68" si="256">C67+C38</f>
        <v>0</v>
      </c>
      <c r="D68" s="41">
        <f t="shared" si="256"/>
        <v>0</v>
      </c>
      <c r="E68" s="41">
        <f t="shared" si="256"/>
        <v>0</v>
      </c>
      <c r="F68" s="41">
        <f t="shared" si="256"/>
        <v>0</v>
      </c>
      <c r="G68" s="41">
        <f t="shared" si="256"/>
        <v>-23335.188573675179</v>
      </c>
      <c r="H68" s="41">
        <f t="shared" si="256"/>
        <v>-23335.188573675179</v>
      </c>
      <c r="I68" s="41">
        <f t="shared" si="256"/>
        <v>-23335.188573675179</v>
      </c>
      <c r="J68" s="41">
        <f t="shared" si="256"/>
        <v>-7572.4441986751845</v>
      </c>
      <c r="K68" s="41">
        <f t="shared" si="256"/>
        <v>-7572.4441986751845</v>
      </c>
      <c r="L68" s="41">
        <f t="shared" si="256"/>
        <v>-7572.4441986751845</v>
      </c>
      <c r="M68" s="41">
        <f t="shared" si="256"/>
        <v>-7572.4441986751845</v>
      </c>
      <c r="N68" s="41">
        <f t="shared" si="256"/>
        <v>-7572.4441986751845</v>
      </c>
      <c r="O68" s="41">
        <f t="shared" si="256"/>
        <v>-7572.4441986751845</v>
      </c>
      <c r="P68" s="41">
        <f t="shared" si="256"/>
        <v>-7572.4441986751845</v>
      </c>
      <c r="Q68" s="41">
        <f t="shared" si="256"/>
        <v>-7572.4441986751845</v>
      </c>
      <c r="R68" s="41">
        <f t="shared" si="256"/>
        <v>-7572.4441986751845</v>
      </c>
      <c r="S68" s="41">
        <f t="shared" si="256"/>
        <v>-7572.4441986751845</v>
      </c>
      <c r="T68" s="41">
        <f t="shared" si="256"/>
        <v>-7572.4441986751845</v>
      </c>
      <c r="U68" s="41">
        <f t="shared" si="256"/>
        <v>-7572.4441986751845</v>
      </c>
      <c r="V68" s="41">
        <f t="shared" si="256"/>
        <v>-7572.4441986751845</v>
      </c>
      <c r="W68" s="41">
        <f t="shared" si="256"/>
        <v>-7572.4441986751845</v>
      </c>
      <c r="X68" s="41">
        <f t="shared" si="256"/>
        <v>-7572.4441986751845</v>
      </c>
      <c r="Y68" s="41">
        <f t="shared" si="256"/>
        <v>-7572.4441986751845</v>
      </c>
      <c r="Z68" s="41">
        <f t="shared" si="256"/>
        <v>-7572.4441986751845</v>
      </c>
      <c r="AA68" s="41">
        <f t="shared" si="256"/>
        <v>-7572.4441986751845</v>
      </c>
      <c r="AB68" s="41">
        <f t="shared" si="256"/>
        <v>-7572.4441986751845</v>
      </c>
      <c r="AC68" s="41">
        <f t="shared" si="256"/>
        <v>-7572.4441986751845</v>
      </c>
      <c r="AD68" s="41">
        <f t="shared" si="256"/>
        <v>-7572.4441986751845</v>
      </c>
      <c r="AE68" s="41">
        <f t="shared" si="256"/>
        <v>-7572.4441986751845</v>
      </c>
      <c r="AF68" s="41">
        <f t="shared" si="256"/>
        <v>-7572.4441986751845</v>
      </c>
      <c r="AG68" s="41">
        <f t="shared" si="256"/>
        <v>-7572.4441986751845</v>
      </c>
      <c r="AH68" s="41">
        <f t="shared" si="256"/>
        <v>-7572.4441986751845</v>
      </c>
      <c r="AI68" s="41">
        <f t="shared" si="256"/>
        <v>-7572.4441986751845</v>
      </c>
      <c r="AJ68" s="41">
        <f t="shared" si="256"/>
        <v>-7572.4441986751845</v>
      </c>
      <c r="AK68" s="41">
        <f t="shared" si="256"/>
        <v>-7572.4441986751845</v>
      </c>
      <c r="AL68" s="41">
        <f t="shared" si="256"/>
        <v>-7572.4441986751845</v>
      </c>
      <c r="AM68" s="41">
        <f t="shared" si="256"/>
        <v>-7572.4441986751845</v>
      </c>
      <c r="AN68" s="41">
        <f t="shared" si="256"/>
        <v>-7572.4441986751845</v>
      </c>
      <c r="AO68" s="41">
        <f t="shared" si="256"/>
        <v>-7572.4441986751845</v>
      </c>
      <c r="AP68" s="41">
        <f t="shared" si="256"/>
        <v>-7572.4441986751845</v>
      </c>
      <c r="AQ68" s="41">
        <f t="shared" si="256"/>
        <v>-7572.4441986751845</v>
      </c>
      <c r="AR68" s="41">
        <f t="shared" si="256"/>
        <v>-7572.4441986751845</v>
      </c>
      <c r="AS68" s="41">
        <f t="shared" si="256"/>
        <v>-7572.4441986751845</v>
      </c>
      <c r="AT68" s="41">
        <f t="shared" si="256"/>
        <v>-7572.4441986751845</v>
      </c>
      <c r="AU68" s="41">
        <f t="shared" si="256"/>
        <v>-7572.4441986751845</v>
      </c>
      <c r="AV68" s="41">
        <f t="shared" si="256"/>
        <v>-7572.4441986751845</v>
      </c>
      <c r="AW68" s="41">
        <f t="shared" si="256"/>
        <v>-7572.4441986751845</v>
      </c>
    </row>
    <row r="72" spans="1:49" x14ac:dyDescent="0.35">
      <c r="A72" t="s">
        <v>128</v>
      </c>
      <c r="B72" s="9">
        <v>6.4999999999999997E-3</v>
      </c>
    </row>
    <row r="73" spans="1:49" x14ac:dyDescent="0.35">
      <c r="A73" t="s">
        <v>129</v>
      </c>
      <c r="B73" s="10">
        <v>0.03</v>
      </c>
    </row>
    <row r="75" spans="1:49" s="13" customFormat="1" x14ac:dyDescent="0.35">
      <c r="A75" s="13" t="s">
        <v>28</v>
      </c>
      <c r="B75" s="13">
        <v>1</v>
      </c>
      <c r="C75" s="13">
        <v>2</v>
      </c>
      <c r="D75" s="13">
        <v>3</v>
      </c>
      <c r="E75" s="13">
        <v>4</v>
      </c>
      <c r="F75" s="13">
        <v>5</v>
      </c>
      <c r="G75" s="13">
        <v>6</v>
      </c>
      <c r="H75" s="13">
        <v>7</v>
      </c>
      <c r="I75" s="13">
        <v>8</v>
      </c>
      <c r="J75" s="13">
        <v>9</v>
      </c>
      <c r="K75" s="13">
        <v>10</v>
      </c>
      <c r="L75" s="13">
        <v>11</v>
      </c>
      <c r="M75" s="13">
        <v>12</v>
      </c>
      <c r="N75" s="13">
        <v>13</v>
      </c>
      <c r="O75" s="13">
        <v>14</v>
      </c>
      <c r="P75" s="13">
        <v>15</v>
      </c>
      <c r="Q75" s="13">
        <v>16</v>
      </c>
      <c r="R75" s="13">
        <v>17</v>
      </c>
      <c r="S75" s="13">
        <v>18</v>
      </c>
      <c r="T75" s="13">
        <v>19</v>
      </c>
      <c r="U75" s="13">
        <v>20</v>
      </c>
      <c r="V75" s="13">
        <v>21</v>
      </c>
      <c r="W75" s="13">
        <v>22</v>
      </c>
      <c r="X75" s="13">
        <v>23</v>
      </c>
      <c r="Y75" s="13">
        <v>24</v>
      </c>
      <c r="Z75" s="13">
        <v>25</v>
      </c>
      <c r="AA75" s="13">
        <v>26</v>
      </c>
      <c r="AB75" s="13">
        <v>27</v>
      </c>
      <c r="AC75" s="13">
        <v>28</v>
      </c>
      <c r="AD75" s="13">
        <v>29</v>
      </c>
      <c r="AE75" s="13">
        <v>30</v>
      </c>
      <c r="AF75" s="13">
        <v>31</v>
      </c>
      <c r="AG75" s="13">
        <v>32</v>
      </c>
      <c r="AH75" s="13">
        <v>33</v>
      </c>
      <c r="AI75" s="13">
        <v>34</v>
      </c>
      <c r="AJ75" s="13">
        <v>35</v>
      </c>
      <c r="AK75" s="13">
        <v>36</v>
      </c>
      <c r="AL75" s="13">
        <v>37</v>
      </c>
      <c r="AM75" s="13">
        <v>38</v>
      </c>
      <c r="AN75" s="13">
        <v>39</v>
      </c>
      <c r="AO75" s="13">
        <v>40</v>
      </c>
      <c r="AP75" s="13">
        <v>41</v>
      </c>
      <c r="AQ75" s="13">
        <v>42</v>
      </c>
      <c r="AR75" s="13">
        <v>43</v>
      </c>
      <c r="AS75" s="13">
        <v>44</v>
      </c>
      <c r="AT75" s="13">
        <v>45</v>
      </c>
      <c r="AU75" s="13">
        <v>46</v>
      </c>
      <c r="AV75" s="13">
        <v>47</v>
      </c>
      <c r="AW75" s="13">
        <v>48</v>
      </c>
    </row>
    <row r="76" spans="1:49" x14ac:dyDescent="0.35">
      <c r="A76" t="s">
        <v>128</v>
      </c>
      <c r="B76" s="43">
        <f>$B$72*DRE!H8</f>
        <v>0</v>
      </c>
      <c r="C76" s="43">
        <f>$B$72*DRE!I8</f>
        <v>47.595600000000005</v>
      </c>
      <c r="D76" s="43">
        <f>$B$72*DRE!J8</f>
        <v>47.595600000000005</v>
      </c>
      <c r="E76" s="43">
        <f>$B$72*DRE!K8</f>
        <v>195.79774499999999</v>
      </c>
      <c r="F76" s="43">
        <f>$B$72*DRE!L8</f>
        <v>195.79774499999999</v>
      </c>
      <c r="G76" s="43">
        <f>$B$72*DRE!M8</f>
        <v>3284.6037715439761</v>
      </c>
      <c r="H76" s="43">
        <f>$B$72*DRE!N8</f>
        <v>3284.6037715439761</v>
      </c>
      <c r="I76" s="43">
        <f>$B$72*DRE!O8</f>
        <v>3284.6037715439761</v>
      </c>
      <c r="J76" s="43">
        <f>$B$72*DRE!P8</f>
        <v>3284.6037715439761</v>
      </c>
      <c r="K76" s="43">
        <f>$B$72*DRE!Q8</f>
        <v>3284.6037715439761</v>
      </c>
      <c r="L76" s="43">
        <f>$B$72*DRE!R8</f>
        <v>3284.6037715439761</v>
      </c>
      <c r="M76" s="43">
        <f>$B$72*DRE!S8</f>
        <v>3284.6037715439761</v>
      </c>
      <c r="N76" s="43">
        <f>$B$72*DRE!T8</f>
        <v>3284.6037715439761</v>
      </c>
      <c r="O76" s="43">
        <f>$B$72*DRE!U8</f>
        <v>3284.6037715439761</v>
      </c>
      <c r="P76" s="43">
        <f>$B$72*DRE!V8</f>
        <v>3284.6037715439761</v>
      </c>
      <c r="Q76" s="43">
        <f>$B$72*DRE!W8</f>
        <v>3284.6037715439761</v>
      </c>
      <c r="R76" s="43">
        <f>$B$72*DRE!X8</f>
        <v>3284.6037715439761</v>
      </c>
      <c r="S76" s="43">
        <f>$B$72*DRE!Y8</f>
        <v>3284.6037715439761</v>
      </c>
      <c r="T76" s="43">
        <f>$B$72*DRE!Z8</f>
        <v>3284.6037715439761</v>
      </c>
      <c r="U76" s="43">
        <f>$B$72*DRE!AA8</f>
        <v>3284.6037715439761</v>
      </c>
      <c r="V76" s="43">
        <f>$B$72*DRE!AB8</f>
        <v>3284.6037715439761</v>
      </c>
      <c r="W76" s="43">
        <f>$B$72*DRE!AC8</f>
        <v>3284.6037715439761</v>
      </c>
      <c r="X76" s="43">
        <f>$B$72*DRE!AD8</f>
        <v>3284.6037715439761</v>
      </c>
      <c r="Y76" s="43">
        <f>$B$72*DRE!AE8</f>
        <v>3284.6037715439761</v>
      </c>
      <c r="Z76" s="43">
        <f>$B$72*DRE!AF8</f>
        <v>3284.6037715439761</v>
      </c>
      <c r="AA76" s="43">
        <f>$B$72*DRE!AG8</f>
        <v>3284.6037715439761</v>
      </c>
      <c r="AB76" s="43">
        <f>$B$72*DRE!AH8</f>
        <v>3284.6037715439761</v>
      </c>
      <c r="AC76" s="43">
        <f>$B$72*DRE!AI8</f>
        <v>3284.6037715439761</v>
      </c>
      <c r="AD76" s="43">
        <f>$B$72*DRE!AJ8</f>
        <v>3284.6037715439761</v>
      </c>
      <c r="AE76" s="43">
        <f>$B$72*DRE!AK8</f>
        <v>3284.6037715439761</v>
      </c>
      <c r="AF76" s="43">
        <f>$B$72*DRE!AL8</f>
        <v>3284.6037715439761</v>
      </c>
      <c r="AG76" s="43">
        <f>$B$72*DRE!AM8</f>
        <v>3284.6037715439761</v>
      </c>
      <c r="AH76" s="43">
        <f>$B$72*DRE!AN8</f>
        <v>3284.6037715439761</v>
      </c>
      <c r="AI76" s="43">
        <f>$B$72*DRE!AO8</f>
        <v>3284.6037715439761</v>
      </c>
      <c r="AJ76" s="43">
        <f>$B$72*DRE!AP8</f>
        <v>3284.6037715439761</v>
      </c>
      <c r="AK76" s="43">
        <f>$B$72*DRE!AQ8</f>
        <v>3284.6037715439761</v>
      </c>
      <c r="AL76" s="43">
        <f>$B$72*DRE!AR8</f>
        <v>3284.6037715439761</v>
      </c>
      <c r="AM76" s="43">
        <f>$B$72*DRE!AS8</f>
        <v>3284.6037715439761</v>
      </c>
      <c r="AN76" s="43">
        <f>$B$72*DRE!AT8</f>
        <v>3284.6037715439761</v>
      </c>
      <c r="AO76" s="43">
        <f>$B$72*DRE!AU8</f>
        <v>3284.6037715439761</v>
      </c>
      <c r="AP76" s="43">
        <f>$B$72*DRE!AV8</f>
        <v>3284.6037715439761</v>
      </c>
      <c r="AQ76" s="43">
        <f>$B$72*DRE!AW8</f>
        <v>3284.6037715439761</v>
      </c>
      <c r="AR76" s="43">
        <f>$B$72*DRE!AX8</f>
        <v>3284.6037715439761</v>
      </c>
      <c r="AS76" s="43">
        <f>$B$72*DRE!AY8</f>
        <v>3284.6037715439761</v>
      </c>
      <c r="AT76" s="43">
        <f>$B$72*DRE!AZ8</f>
        <v>3284.6037715439761</v>
      </c>
      <c r="AU76" s="43">
        <f>$B$72*DRE!BA8</f>
        <v>3284.6037715439761</v>
      </c>
      <c r="AV76" s="43">
        <f>$B$72*DRE!BB8</f>
        <v>3284.6037715439761</v>
      </c>
      <c r="AW76" s="43">
        <f>$B$72*DRE!BC8</f>
        <v>3284.6037715439761</v>
      </c>
    </row>
    <row r="77" spans="1:49" x14ac:dyDescent="0.35">
      <c r="A77" t="s">
        <v>129</v>
      </c>
      <c r="B77" s="43">
        <f>$B$73*DRE!H8</f>
        <v>0</v>
      </c>
      <c r="C77" s="43">
        <f>$B$73*DRE!I8</f>
        <v>219.672</v>
      </c>
      <c r="D77" s="43">
        <f>$B$73*DRE!J8</f>
        <v>219.672</v>
      </c>
      <c r="E77" s="43">
        <f>$B$73*DRE!K8</f>
        <v>903.68189999999993</v>
      </c>
      <c r="F77" s="43">
        <f>$B$73*DRE!L8</f>
        <v>903.68189999999993</v>
      </c>
      <c r="G77" s="43">
        <f>$B$73*DRE!M8</f>
        <v>15159.709714818353</v>
      </c>
      <c r="H77" s="43">
        <f>$B$73*DRE!N8</f>
        <v>15159.709714818353</v>
      </c>
      <c r="I77" s="43">
        <f>$B$73*DRE!O8</f>
        <v>15159.709714818353</v>
      </c>
      <c r="J77" s="43">
        <f>$B$73*DRE!P8</f>
        <v>15159.709714818353</v>
      </c>
      <c r="K77" s="43">
        <f>$B$73*DRE!Q8</f>
        <v>15159.709714818353</v>
      </c>
      <c r="L77" s="43">
        <f>$B$73*DRE!R8</f>
        <v>15159.709714818353</v>
      </c>
      <c r="M77" s="43">
        <f>$B$73*DRE!S8</f>
        <v>15159.709714818353</v>
      </c>
      <c r="N77" s="43">
        <f>$B$73*DRE!T8</f>
        <v>15159.709714818353</v>
      </c>
      <c r="O77" s="43">
        <f>$B$73*DRE!U8</f>
        <v>15159.709714818353</v>
      </c>
      <c r="P77" s="43">
        <f>$B$73*DRE!V8</f>
        <v>15159.709714818353</v>
      </c>
      <c r="Q77" s="43">
        <f>$B$73*DRE!W8</f>
        <v>15159.709714818353</v>
      </c>
      <c r="R77" s="43">
        <f>$B$73*DRE!X8</f>
        <v>15159.709714818353</v>
      </c>
      <c r="S77" s="43">
        <f>$B$73*DRE!Y8</f>
        <v>15159.709714818353</v>
      </c>
      <c r="T77" s="43">
        <f>$B$73*DRE!Z8</f>
        <v>15159.709714818353</v>
      </c>
      <c r="U77" s="43">
        <f>$B$73*DRE!AA8</f>
        <v>15159.709714818353</v>
      </c>
      <c r="V77" s="43">
        <f>$B$73*DRE!AB8</f>
        <v>15159.709714818353</v>
      </c>
      <c r="W77" s="43">
        <f>$B$73*DRE!AC8</f>
        <v>15159.709714818353</v>
      </c>
      <c r="X77" s="43">
        <f>$B$73*DRE!AD8</f>
        <v>15159.709714818353</v>
      </c>
      <c r="Y77" s="43">
        <f>$B$73*DRE!AE8</f>
        <v>15159.709714818353</v>
      </c>
      <c r="Z77" s="43">
        <f>$B$73*DRE!AF8</f>
        <v>15159.709714818353</v>
      </c>
      <c r="AA77" s="43">
        <f>$B$73*DRE!AG8</f>
        <v>15159.709714818353</v>
      </c>
      <c r="AB77" s="43">
        <f>$B$73*DRE!AH8</f>
        <v>15159.709714818353</v>
      </c>
      <c r="AC77" s="43">
        <f>$B$73*DRE!AI8</f>
        <v>15159.709714818353</v>
      </c>
      <c r="AD77" s="43">
        <f>$B$73*DRE!AJ8</f>
        <v>15159.709714818353</v>
      </c>
      <c r="AE77" s="43">
        <f>$B$73*DRE!AK8</f>
        <v>15159.709714818353</v>
      </c>
      <c r="AF77" s="43">
        <f>$B$73*DRE!AL8</f>
        <v>15159.709714818353</v>
      </c>
      <c r="AG77" s="43">
        <f>$B$73*DRE!AM8</f>
        <v>15159.709714818353</v>
      </c>
      <c r="AH77" s="43">
        <f>$B$73*DRE!AN8</f>
        <v>15159.709714818353</v>
      </c>
      <c r="AI77" s="43">
        <f>$B$73*DRE!AO8</f>
        <v>15159.709714818353</v>
      </c>
      <c r="AJ77" s="43">
        <f>$B$73*DRE!AP8</f>
        <v>15159.709714818353</v>
      </c>
      <c r="AK77" s="43">
        <f>$B$73*DRE!AQ8</f>
        <v>15159.709714818353</v>
      </c>
      <c r="AL77" s="43">
        <f>$B$73*DRE!AR8</f>
        <v>15159.709714818353</v>
      </c>
      <c r="AM77" s="43">
        <f>$B$73*DRE!AS8</f>
        <v>15159.709714818353</v>
      </c>
      <c r="AN77" s="43">
        <f>$B$73*DRE!AT8</f>
        <v>15159.709714818353</v>
      </c>
      <c r="AO77" s="43">
        <f>$B$73*DRE!AU8</f>
        <v>15159.709714818353</v>
      </c>
      <c r="AP77" s="43">
        <f>$B$73*DRE!AV8</f>
        <v>15159.709714818353</v>
      </c>
      <c r="AQ77" s="43">
        <f>$B$73*DRE!AW8</f>
        <v>15159.709714818353</v>
      </c>
      <c r="AR77" s="43">
        <f>$B$73*DRE!AX8</f>
        <v>15159.709714818353</v>
      </c>
      <c r="AS77" s="43">
        <f>$B$73*DRE!AY8</f>
        <v>15159.709714818353</v>
      </c>
      <c r="AT77" s="43">
        <f>$B$73*DRE!AZ8</f>
        <v>15159.709714818353</v>
      </c>
      <c r="AU77" s="43">
        <f>$B$73*DRE!BA8</f>
        <v>15159.709714818353</v>
      </c>
      <c r="AV77" s="43">
        <f>$B$73*DRE!BB8</f>
        <v>15159.709714818353</v>
      </c>
      <c r="AW77" s="43">
        <f>$B$73*DRE!BC8</f>
        <v>15159.709714818353</v>
      </c>
    </row>
    <row r="78" spans="1:49" x14ac:dyDescent="0.35">
      <c r="A78" t="s">
        <v>49</v>
      </c>
      <c r="B78" s="43">
        <f>B77+B76</f>
        <v>0</v>
      </c>
      <c r="C78" s="43">
        <f t="shared" ref="C78:AW78" si="257">C77+C76</f>
        <v>267.26760000000002</v>
      </c>
      <c r="D78" s="43">
        <f t="shared" si="257"/>
        <v>267.26760000000002</v>
      </c>
      <c r="E78" s="43">
        <f t="shared" si="257"/>
        <v>1099.4796449999999</v>
      </c>
      <c r="F78" s="43">
        <f t="shared" si="257"/>
        <v>1099.4796449999999</v>
      </c>
      <c r="G78" s="43">
        <f t="shared" si="257"/>
        <v>18444.313486362327</v>
      </c>
      <c r="H78" s="43">
        <f t="shared" si="257"/>
        <v>18444.313486362327</v>
      </c>
      <c r="I78" s="43">
        <f t="shared" si="257"/>
        <v>18444.313486362327</v>
      </c>
      <c r="J78" s="43">
        <f t="shared" si="257"/>
        <v>18444.313486362327</v>
      </c>
      <c r="K78" s="43">
        <f t="shared" si="257"/>
        <v>18444.313486362327</v>
      </c>
      <c r="L78" s="43">
        <f t="shared" si="257"/>
        <v>18444.313486362327</v>
      </c>
      <c r="M78" s="43">
        <f t="shared" si="257"/>
        <v>18444.313486362327</v>
      </c>
      <c r="N78" s="43">
        <f t="shared" si="257"/>
        <v>18444.313486362327</v>
      </c>
      <c r="O78" s="43">
        <f t="shared" si="257"/>
        <v>18444.313486362327</v>
      </c>
      <c r="P78" s="43">
        <f t="shared" si="257"/>
        <v>18444.313486362327</v>
      </c>
      <c r="Q78" s="43">
        <f t="shared" si="257"/>
        <v>18444.313486362327</v>
      </c>
      <c r="R78" s="43">
        <f t="shared" si="257"/>
        <v>18444.313486362327</v>
      </c>
      <c r="S78" s="43">
        <f t="shared" si="257"/>
        <v>18444.313486362327</v>
      </c>
      <c r="T78" s="43">
        <f t="shared" si="257"/>
        <v>18444.313486362327</v>
      </c>
      <c r="U78" s="43">
        <f t="shared" si="257"/>
        <v>18444.313486362327</v>
      </c>
      <c r="V78" s="43">
        <f t="shared" si="257"/>
        <v>18444.313486362327</v>
      </c>
      <c r="W78" s="43">
        <f t="shared" si="257"/>
        <v>18444.313486362327</v>
      </c>
      <c r="X78" s="43">
        <f t="shared" si="257"/>
        <v>18444.313486362327</v>
      </c>
      <c r="Y78" s="43">
        <f t="shared" si="257"/>
        <v>18444.313486362327</v>
      </c>
      <c r="Z78" s="43">
        <f t="shared" si="257"/>
        <v>18444.313486362327</v>
      </c>
      <c r="AA78" s="43">
        <f t="shared" si="257"/>
        <v>18444.313486362327</v>
      </c>
      <c r="AB78" s="43">
        <f t="shared" si="257"/>
        <v>18444.313486362327</v>
      </c>
      <c r="AC78" s="43">
        <f t="shared" si="257"/>
        <v>18444.313486362327</v>
      </c>
      <c r="AD78" s="43">
        <f t="shared" si="257"/>
        <v>18444.313486362327</v>
      </c>
      <c r="AE78" s="43">
        <f t="shared" si="257"/>
        <v>18444.313486362327</v>
      </c>
      <c r="AF78" s="43">
        <f t="shared" si="257"/>
        <v>18444.313486362327</v>
      </c>
      <c r="AG78" s="43">
        <f t="shared" si="257"/>
        <v>18444.313486362327</v>
      </c>
      <c r="AH78" s="43">
        <f t="shared" si="257"/>
        <v>18444.313486362327</v>
      </c>
      <c r="AI78" s="43">
        <f t="shared" si="257"/>
        <v>18444.313486362327</v>
      </c>
      <c r="AJ78" s="43">
        <f t="shared" si="257"/>
        <v>18444.313486362327</v>
      </c>
      <c r="AK78" s="43">
        <f t="shared" si="257"/>
        <v>18444.313486362327</v>
      </c>
      <c r="AL78" s="43">
        <f t="shared" si="257"/>
        <v>18444.313486362327</v>
      </c>
      <c r="AM78" s="43">
        <f t="shared" si="257"/>
        <v>18444.313486362327</v>
      </c>
      <c r="AN78" s="43">
        <f t="shared" si="257"/>
        <v>18444.313486362327</v>
      </c>
      <c r="AO78" s="43">
        <f t="shared" si="257"/>
        <v>18444.313486362327</v>
      </c>
      <c r="AP78" s="43">
        <f t="shared" si="257"/>
        <v>18444.313486362327</v>
      </c>
      <c r="AQ78" s="43">
        <f t="shared" si="257"/>
        <v>18444.313486362327</v>
      </c>
      <c r="AR78" s="43">
        <f t="shared" si="257"/>
        <v>18444.313486362327</v>
      </c>
      <c r="AS78" s="43">
        <f t="shared" si="257"/>
        <v>18444.313486362327</v>
      </c>
      <c r="AT78" s="43">
        <f t="shared" si="257"/>
        <v>18444.313486362327</v>
      </c>
      <c r="AU78" s="43">
        <f t="shared" si="257"/>
        <v>18444.313486362327</v>
      </c>
      <c r="AV78" s="43">
        <f t="shared" si="257"/>
        <v>18444.313486362327</v>
      </c>
      <c r="AW78" s="43">
        <f t="shared" si="257"/>
        <v>18444.313486362327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C1EC-064D-4854-88F2-857BFA02E682}">
  <dimension ref="A3:BB44"/>
  <sheetViews>
    <sheetView workbookViewId="0">
      <selection activeCell="G18" sqref="G18"/>
    </sheetView>
  </sheetViews>
  <sheetFormatPr defaultRowHeight="14.5" x14ac:dyDescent="0.35"/>
  <cols>
    <col min="1" max="1" width="15.453125" bestFit="1" customWidth="1"/>
    <col min="2" max="2" width="38.1796875" bestFit="1" customWidth="1"/>
    <col min="3" max="3" width="17" bestFit="1" customWidth="1"/>
    <col min="4" max="4" width="15.81640625" bestFit="1" customWidth="1"/>
    <col min="5" max="5" width="23.7265625" bestFit="1" customWidth="1"/>
    <col min="6" max="7" width="16.54296875" bestFit="1" customWidth="1"/>
    <col min="8" max="8" width="12.81640625" bestFit="1" customWidth="1"/>
    <col min="9" max="9" width="14.453125" bestFit="1" customWidth="1"/>
    <col min="10" max="10" width="12.81640625" bestFit="1" customWidth="1"/>
    <col min="11" max="11" width="16.453125" bestFit="1" customWidth="1"/>
    <col min="12" max="12" width="12.81640625" bestFit="1" customWidth="1"/>
    <col min="13" max="13" width="18.54296875" bestFit="1" customWidth="1"/>
    <col min="14" max="54" width="12.81640625" bestFit="1" customWidth="1"/>
  </cols>
  <sheetData>
    <row r="3" spans="2:13" x14ac:dyDescent="0.35">
      <c r="B3" s="11" t="s">
        <v>130</v>
      </c>
      <c r="C3" s="11"/>
      <c r="D3" s="11"/>
      <c r="E3" s="11"/>
      <c r="F3" s="11"/>
      <c r="G3" s="11"/>
      <c r="H3" s="11"/>
      <c r="I3" s="11"/>
      <c r="J3" s="11"/>
      <c r="K3" s="11"/>
    </row>
    <row r="5" spans="2:13" x14ac:dyDescent="0.35">
      <c r="B5" s="46" t="s">
        <v>131</v>
      </c>
      <c r="C5" s="46"/>
      <c r="D5" s="46"/>
      <c r="E5" s="46"/>
      <c r="F5" s="46"/>
    </row>
    <row r="6" spans="2:13" ht="29" x14ac:dyDescent="0.35">
      <c r="B6" s="1" t="s">
        <v>132</v>
      </c>
      <c r="C6" s="12" t="s">
        <v>133</v>
      </c>
      <c r="D6" s="1" t="s">
        <v>134</v>
      </c>
      <c r="E6" s="12" t="s">
        <v>135</v>
      </c>
      <c r="F6" s="1" t="s">
        <v>136</v>
      </c>
      <c r="G6" s="13" t="s">
        <v>137</v>
      </c>
    </row>
    <row r="7" spans="2:13" x14ac:dyDescent="0.35">
      <c r="B7" s="1">
        <v>8</v>
      </c>
      <c r="C7" s="1">
        <f>Painel!B7*Painel!B8/8</f>
        <v>16950</v>
      </c>
      <c r="D7" s="14">
        <v>0.03</v>
      </c>
      <c r="E7" s="1">
        <v>18</v>
      </c>
      <c r="F7" s="15">
        <v>0.1</v>
      </c>
      <c r="G7" s="16">
        <f>E7*D7*C7*B7*F7</f>
        <v>7322.4000000000005</v>
      </c>
    </row>
    <row r="9" spans="2:13" x14ac:dyDescent="0.35">
      <c r="B9" s="46" t="s">
        <v>138</v>
      </c>
      <c r="C9" s="46"/>
      <c r="D9" s="46"/>
      <c r="E9" s="46"/>
      <c r="F9" s="46"/>
      <c r="G9" s="46"/>
      <c r="H9" s="46"/>
      <c r="I9" s="46"/>
      <c r="J9" s="46"/>
      <c r="K9" s="46"/>
    </row>
    <row r="10" spans="2:13" x14ac:dyDescent="0.35">
      <c r="B10" t="s">
        <v>139</v>
      </c>
      <c r="C10" t="s">
        <v>140</v>
      </c>
      <c r="D10" t="s">
        <v>141</v>
      </c>
      <c r="E10" t="s">
        <v>142</v>
      </c>
      <c r="F10" t="s">
        <v>143</v>
      </c>
      <c r="G10" t="s">
        <v>144</v>
      </c>
      <c r="H10" s="1" t="s">
        <v>132</v>
      </c>
      <c r="I10" t="s">
        <v>145</v>
      </c>
      <c r="J10" t="s">
        <v>146</v>
      </c>
      <c r="K10" s="1" t="s">
        <v>137</v>
      </c>
      <c r="L10" s="1" t="s">
        <v>147</v>
      </c>
      <c r="M10" s="1" t="s">
        <v>148</v>
      </c>
    </row>
    <row r="11" spans="2:13" x14ac:dyDescent="0.35">
      <c r="B11" t="s">
        <v>149</v>
      </c>
      <c r="C11" t="s">
        <v>150</v>
      </c>
      <c r="D11">
        <v>0.128</v>
      </c>
      <c r="E11">
        <f>Painel!B10*Painel!B9</f>
        <v>518500</v>
      </c>
      <c r="F11">
        <v>30</v>
      </c>
      <c r="I11" s="3">
        <f>F11*E11*D11</f>
        <v>1991040</v>
      </c>
      <c r="J11">
        <v>14</v>
      </c>
      <c r="K11" s="3">
        <f>J11*I11</f>
        <v>27874560</v>
      </c>
      <c r="L11" s="2">
        <f>Painel!B11</f>
        <v>1.6604220354960099E-2</v>
      </c>
      <c r="M11" s="4">
        <f>L11*K11</f>
        <v>462835.33653755655</v>
      </c>
    </row>
    <row r="12" spans="2:13" x14ac:dyDescent="0.35">
      <c r="B12" t="s">
        <v>151</v>
      </c>
      <c r="C12" t="s">
        <v>150</v>
      </c>
      <c r="D12">
        <v>0.128</v>
      </c>
      <c r="E12">
        <v>200</v>
      </c>
      <c r="F12">
        <v>22</v>
      </c>
      <c r="G12">
        <v>400</v>
      </c>
      <c r="H12">
        <v>8</v>
      </c>
      <c r="I12" s="3">
        <f>D12*(E12*F12+G12*H12)</f>
        <v>972.80000000000007</v>
      </c>
      <c r="J12">
        <v>8</v>
      </c>
      <c r="K12" s="3">
        <f>J12*I12</f>
        <v>7782.4000000000005</v>
      </c>
      <c r="L12" s="2">
        <f>L11</f>
        <v>1.6604220354960099E-2</v>
      </c>
      <c r="M12" s="4">
        <f t="shared" ref="M12:M15" si="0">L12*K12</f>
        <v>129.22068449044147</v>
      </c>
    </row>
    <row r="13" spans="2:13" x14ac:dyDescent="0.35">
      <c r="B13" t="s">
        <v>152</v>
      </c>
      <c r="C13" t="s">
        <v>150</v>
      </c>
      <c r="D13">
        <v>0.128</v>
      </c>
      <c r="E13">
        <v>200</v>
      </c>
      <c r="F13">
        <v>22</v>
      </c>
      <c r="G13">
        <v>400</v>
      </c>
      <c r="H13">
        <v>8</v>
      </c>
      <c r="I13" s="3">
        <f>D13*(E13*F13+G13*H13)</f>
        <v>972.80000000000007</v>
      </c>
      <c r="J13">
        <v>8</v>
      </c>
      <c r="K13" s="3">
        <f>J13*I13</f>
        <v>7782.4000000000005</v>
      </c>
      <c r="L13" s="2">
        <f t="shared" ref="L13:L15" si="1">L12</f>
        <v>1.6604220354960099E-2</v>
      </c>
      <c r="M13" s="4">
        <f t="shared" si="0"/>
        <v>129.22068449044147</v>
      </c>
    </row>
    <row r="14" spans="2:13" x14ac:dyDescent="0.35">
      <c r="B14" t="s">
        <v>153</v>
      </c>
      <c r="C14" t="s">
        <v>150</v>
      </c>
      <c r="D14">
        <v>0.128</v>
      </c>
      <c r="E14">
        <v>200</v>
      </c>
      <c r="F14">
        <v>22</v>
      </c>
      <c r="G14">
        <v>400</v>
      </c>
      <c r="H14">
        <v>8</v>
      </c>
      <c r="I14" s="3">
        <f>D14*(E14*F14+G14*H14)</f>
        <v>972.80000000000007</v>
      </c>
      <c r="J14">
        <v>26</v>
      </c>
      <c r="K14" s="3">
        <f>J14*I14</f>
        <v>25292.800000000003</v>
      </c>
      <c r="L14" s="2">
        <f t="shared" si="1"/>
        <v>1.6604220354960099E-2</v>
      </c>
      <c r="M14" s="4">
        <f t="shared" si="0"/>
        <v>419.96722459393482</v>
      </c>
    </row>
    <row r="15" spans="2:13" x14ac:dyDescent="0.35">
      <c r="B15" t="s">
        <v>154</v>
      </c>
      <c r="C15" t="s">
        <v>150</v>
      </c>
      <c r="D15">
        <v>0.128</v>
      </c>
      <c r="E15">
        <v>200</v>
      </c>
      <c r="F15">
        <v>22</v>
      </c>
      <c r="G15">
        <v>400</v>
      </c>
      <c r="H15">
        <v>8</v>
      </c>
      <c r="I15" s="3">
        <f>D15*(E15*F15+G15*H15)</f>
        <v>972.80000000000007</v>
      </c>
      <c r="J15">
        <v>6</v>
      </c>
      <c r="K15" s="3">
        <f>J15*I15</f>
        <v>5836.8</v>
      </c>
      <c r="L15" s="2">
        <f t="shared" si="1"/>
        <v>1.6604220354960099E-2</v>
      </c>
      <c r="M15" s="4">
        <f t="shared" si="0"/>
        <v>96.91551336783111</v>
      </c>
    </row>
    <row r="16" spans="2:13" x14ac:dyDescent="0.35">
      <c r="B16" s="17" t="s">
        <v>30</v>
      </c>
      <c r="C16" s="17"/>
      <c r="D16" s="17"/>
      <c r="E16" s="17"/>
      <c r="F16" s="17"/>
      <c r="G16" s="17"/>
      <c r="H16" s="17"/>
      <c r="I16" s="17"/>
      <c r="J16" s="17"/>
      <c r="K16" s="18">
        <f>SUMIF(C11:C15,"sim",K11:K15)</f>
        <v>27921254.399999999</v>
      </c>
      <c r="M16" s="4">
        <f>SUM(M11:M15)</f>
        <v>463610.66064449924</v>
      </c>
    </row>
    <row r="18" spans="2:9" x14ac:dyDescent="0.35">
      <c r="B18" s="46" t="s">
        <v>155</v>
      </c>
      <c r="C18" s="46"/>
      <c r="D18" s="46"/>
      <c r="E18" s="46"/>
      <c r="F18" s="46"/>
    </row>
    <row r="19" spans="2:9" x14ac:dyDescent="0.35">
      <c r="C19" s="1" t="s">
        <v>156</v>
      </c>
      <c r="D19" s="1" t="s">
        <v>157</v>
      </c>
      <c r="E19" s="1" t="s">
        <v>158</v>
      </c>
      <c r="F19" s="13" t="s">
        <v>137</v>
      </c>
    </row>
    <row r="20" spans="2:9" x14ac:dyDescent="0.35">
      <c r="B20" t="s">
        <v>159</v>
      </c>
      <c r="C20" s="19">
        <v>6000.11</v>
      </c>
      <c r="D20" s="19">
        <f>C20</f>
        <v>6000.11</v>
      </c>
      <c r="E20" s="19">
        <f>D20</f>
        <v>6000.11</v>
      </c>
      <c r="F20" s="20">
        <f>SUM(C20:E20)</f>
        <v>18000.329999999998</v>
      </c>
    </row>
    <row r="22" spans="2:9" x14ac:dyDescent="0.35">
      <c r="B22" s="46" t="s">
        <v>160</v>
      </c>
      <c r="C22" s="46"/>
      <c r="D22" s="46"/>
      <c r="E22" s="46"/>
      <c r="F22" s="46"/>
    </row>
    <row r="23" spans="2:9" x14ac:dyDescent="0.35">
      <c r="B23" t="s">
        <v>160</v>
      </c>
      <c r="C23" s="1" t="s">
        <v>161</v>
      </c>
      <c r="D23" s="1" t="s">
        <v>162</v>
      </c>
      <c r="E23" s="1" t="s">
        <v>163</v>
      </c>
      <c r="F23" s="13" t="s">
        <v>137</v>
      </c>
    </row>
    <row r="24" spans="2:9" x14ac:dyDescent="0.35">
      <c r="B24" t="s">
        <v>164</v>
      </c>
      <c r="C24" s="1">
        <v>3.11</v>
      </c>
      <c r="D24" s="1">
        <v>1</v>
      </c>
      <c r="E24" s="1"/>
      <c r="F24" s="21">
        <f>E24*D24*C24</f>
        <v>0</v>
      </c>
    </row>
    <row r="25" spans="2:9" x14ac:dyDescent="0.35">
      <c r="B25" t="s">
        <v>165</v>
      </c>
      <c r="C25" s="1">
        <v>3.11</v>
      </c>
      <c r="D25" s="1">
        <v>2</v>
      </c>
      <c r="E25" s="1"/>
      <c r="F25" s="21">
        <f>E25*D25*C25</f>
        <v>0</v>
      </c>
    </row>
    <row r="26" spans="2:9" x14ac:dyDescent="0.35">
      <c r="B26" t="s">
        <v>166</v>
      </c>
      <c r="C26" s="1">
        <v>3.11</v>
      </c>
      <c r="D26" s="1">
        <v>4</v>
      </c>
      <c r="E26" s="1"/>
      <c r="F26" s="21">
        <f>E26*D26*C26</f>
        <v>0</v>
      </c>
    </row>
    <row r="27" spans="2:9" x14ac:dyDescent="0.35">
      <c r="B27" s="17" t="s">
        <v>30</v>
      </c>
      <c r="C27" s="17"/>
      <c r="D27" s="17"/>
      <c r="E27" s="17"/>
      <c r="F27" s="22">
        <f>SUM(F24:F26)</f>
        <v>0</v>
      </c>
    </row>
    <row r="28" spans="2:9" x14ac:dyDescent="0.35">
      <c r="B28" t="s">
        <v>167</v>
      </c>
      <c r="C28" s="10">
        <v>2.5000000000000001E-2</v>
      </c>
      <c r="F28" s="21">
        <f>C28*M16</f>
        <v>11590.266516112482</v>
      </c>
      <c r="I28" s="23"/>
    </row>
    <row r="29" spans="2:9" x14ac:dyDescent="0.35">
      <c r="B29" s="46" t="s">
        <v>168</v>
      </c>
      <c r="C29" s="46"/>
      <c r="D29" s="46"/>
      <c r="E29" s="46"/>
      <c r="F29" s="46"/>
      <c r="G29" s="46"/>
      <c r="I29" s="23"/>
    </row>
    <row r="30" spans="2:9" x14ac:dyDescent="0.35">
      <c r="B30" s="1" t="s">
        <v>169</v>
      </c>
      <c r="C30" s="12" t="s">
        <v>170</v>
      </c>
      <c r="D30" s="1" t="s">
        <v>171</v>
      </c>
      <c r="E30" s="1" t="s">
        <v>132</v>
      </c>
      <c r="F30" s="1" t="s">
        <v>134</v>
      </c>
      <c r="G30" s="24" t="s">
        <v>137</v>
      </c>
    </row>
    <row r="31" spans="2:9" x14ac:dyDescent="0.35">
      <c r="B31" s="1">
        <v>50</v>
      </c>
      <c r="C31" s="4">
        <v>30</v>
      </c>
      <c r="D31" s="1">
        <v>4</v>
      </c>
      <c r="E31" s="1">
        <v>8</v>
      </c>
      <c r="F31" s="15">
        <v>0.1</v>
      </c>
      <c r="G31" s="4">
        <f>E31*D31*C31*B31*F31</f>
        <v>4800</v>
      </c>
    </row>
    <row r="32" spans="2:9" x14ac:dyDescent="0.35">
      <c r="B32" s="1">
        <v>50</v>
      </c>
      <c r="C32" s="4">
        <v>50</v>
      </c>
      <c r="D32" s="1">
        <v>8</v>
      </c>
      <c r="E32" s="1">
        <v>8</v>
      </c>
      <c r="F32" s="15">
        <v>0.3</v>
      </c>
      <c r="G32" s="4">
        <f>E32*D32*C32*B32*F32</f>
        <v>48000</v>
      </c>
    </row>
    <row r="34" spans="1:54" x14ac:dyDescent="0.35">
      <c r="B34" s="46" t="s">
        <v>172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</row>
    <row r="35" spans="1:54" x14ac:dyDescent="0.35">
      <c r="A35" s="13" t="s">
        <v>173</v>
      </c>
      <c r="B35" s="13"/>
      <c r="C35" s="13" t="s">
        <v>174</v>
      </c>
      <c r="D35" s="13" t="s">
        <v>175</v>
      </c>
      <c r="E35" s="13"/>
      <c r="F35" s="13" t="s">
        <v>176</v>
      </c>
      <c r="G35" s="13">
        <v>1</v>
      </c>
      <c r="H35" s="13">
        <v>2</v>
      </c>
      <c r="I35" s="13">
        <v>3</v>
      </c>
      <c r="J35" s="13">
        <v>4</v>
      </c>
      <c r="K35" s="13">
        <v>5</v>
      </c>
      <c r="L35" s="13">
        <v>6</v>
      </c>
      <c r="M35" s="13">
        <v>7</v>
      </c>
      <c r="N35" s="13">
        <v>8</v>
      </c>
      <c r="O35" s="13">
        <v>9</v>
      </c>
      <c r="P35" s="13">
        <v>10</v>
      </c>
      <c r="Q35" s="13">
        <v>11</v>
      </c>
      <c r="R35" s="13">
        <v>12</v>
      </c>
      <c r="S35" s="13">
        <v>13</v>
      </c>
      <c r="T35" s="13">
        <v>14</v>
      </c>
      <c r="U35" s="13">
        <v>15</v>
      </c>
      <c r="V35" s="13">
        <v>16</v>
      </c>
      <c r="W35" s="13">
        <v>17</v>
      </c>
      <c r="X35" s="13">
        <v>18</v>
      </c>
      <c r="Y35" s="13">
        <v>19</v>
      </c>
      <c r="Z35" s="13">
        <v>20</v>
      </c>
      <c r="AA35" s="13">
        <v>21</v>
      </c>
      <c r="AB35" s="13">
        <v>22</v>
      </c>
      <c r="AC35" s="13">
        <v>23</v>
      </c>
      <c r="AD35" s="13">
        <v>24</v>
      </c>
      <c r="AE35" s="13">
        <v>25</v>
      </c>
      <c r="AF35" s="13">
        <v>26</v>
      </c>
      <c r="AG35" s="13">
        <v>27</v>
      </c>
      <c r="AH35" s="13">
        <v>28</v>
      </c>
      <c r="AI35" s="13">
        <v>29</v>
      </c>
      <c r="AJ35" s="13">
        <v>30</v>
      </c>
      <c r="AK35" s="13">
        <v>31</v>
      </c>
      <c r="AL35" s="13">
        <v>32</v>
      </c>
      <c r="AM35" s="13">
        <v>33</v>
      </c>
      <c r="AN35" s="13">
        <v>34</v>
      </c>
      <c r="AO35" s="13">
        <v>35</v>
      </c>
      <c r="AP35" s="13">
        <v>36</v>
      </c>
      <c r="AQ35" s="13">
        <v>37</v>
      </c>
      <c r="AR35" s="13">
        <v>38</v>
      </c>
      <c r="AS35" s="13">
        <v>39</v>
      </c>
      <c r="AT35" s="13">
        <v>40</v>
      </c>
      <c r="AU35" s="13">
        <v>41</v>
      </c>
      <c r="AV35" s="13">
        <v>42</v>
      </c>
      <c r="AW35" s="13">
        <v>43</v>
      </c>
      <c r="AX35" s="13">
        <v>44</v>
      </c>
      <c r="AY35" s="13">
        <v>45</v>
      </c>
      <c r="AZ35" s="13">
        <v>46</v>
      </c>
      <c r="BA35" s="13">
        <v>47</v>
      </c>
      <c r="BB35" s="13">
        <v>48</v>
      </c>
    </row>
    <row r="36" spans="1:54" x14ac:dyDescent="0.35">
      <c r="A36" s="13" t="s">
        <v>138</v>
      </c>
      <c r="C36" s="1">
        <v>6</v>
      </c>
      <c r="D36" s="4">
        <f>M16</f>
        <v>463610.66064449924</v>
      </c>
      <c r="E36" s="3">
        <f>SUM(G36:BB36)</f>
        <v>19935258.407713465</v>
      </c>
      <c r="F36" s="3">
        <f>E36/48</f>
        <v>415317.88349403051</v>
      </c>
      <c r="G36" s="4">
        <f>IF($C36&lt;=G$35,$D36,0)</f>
        <v>0</v>
      </c>
      <c r="H36" s="4">
        <f t="shared" ref="H36:W40" si="2">IF($C36&lt;=H$35,$D36,0)</f>
        <v>0</v>
      </c>
      <c r="I36" s="4">
        <f t="shared" si="2"/>
        <v>0</v>
      </c>
      <c r="J36" s="4">
        <f t="shared" si="2"/>
        <v>0</v>
      </c>
      <c r="K36" s="4">
        <f t="shared" si="2"/>
        <v>0</v>
      </c>
      <c r="L36" s="4">
        <f t="shared" si="2"/>
        <v>463610.66064449924</v>
      </c>
      <c r="M36" s="4">
        <f t="shared" si="2"/>
        <v>463610.66064449924</v>
      </c>
      <c r="N36" s="4">
        <f t="shared" si="2"/>
        <v>463610.66064449924</v>
      </c>
      <c r="O36" s="4">
        <f t="shared" si="2"/>
        <v>463610.66064449924</v>
      </c>
      <c r="P36" s="4">
        <f t="shared" si="2"/>
        <v>463610.66064449924</v>
      </c>
      <c r="Q36" s="4">
        <f t="shared" si="2"/>
        <v>463610.66064449924</v>
      </c>
      <c r="R36" s="4">
        <f t="shared" si="2"/>
        <v>463610.66064449924</v>
      </c>
      <c r="S36" s="4">
        <f t="shared" si="2"/>
        <v>463610.66064449924</v>
      </c>
      <c r="T36" s="4">
        <f t="shared" si="2"/>
        <v>463610.66064449924</v>
      </c>
      <c r="U36" s="4">
        <f t="shared" si="2"/>
        <v>463610.66064449924</v>
      </c>
      <c r="V36" s="4">
        <f t="shared" si="2"/>
        <v>463610.66064449924</v>
      </c>
      <c r="W36" s="4">
        <f t="shared" si="2"/>
        <v>463610.66064449924</v>
      </c>
      <c r="X36" s="4">
        <f t="shared" ref="L36:BB40" si="3">IF($C36&lt;=X$35,$D36,0)</f>
        <v>463610.66064449924</v>
      </c>
      <c r="Y36" s="4">
        <f t="shared" si="3"/>
        <v>463610.66064449924</v>
      </c>
      <c r="Z36" s="4">
        <f t="shared" si="3"/>
        <v>463610.66064449924</v>
      </c>
      <c r="AA36" s="4">
        <f t="shared" si="3"/>
        <v>463610.66064449924</v>
      </c>
      <c r="AB36" s="4">
        <f t="shared" si="3"/>
        <v>463610.66064449924</v>
      </c>
      <c r="AC36" s="4">
        <f t="shared" si="3"/>
        <v>463610.66064449924</v>
      </c>
      <c r="AD36" s="4">
        <f t="shared" si="3"/>
        <v>463610.66064449924</v>
      </c>
      <c r="AE36" s="4">
        <f t="shared" si="3"/>
        <v>463610.66064449924</v>
      </c>
      <c r="AF36" s="4">
        <f t="shared" si="3"/>
        <v>463610.66064449924</v>
      </c>
      <c r="AG36" s="4">
        <f t="shared" si="3"/>
        <v>463610.66064449924</v>
      </c>
      <c r="AH36" s="4">
        <f t="shared" si="3"/>
        <v>463610.66064449924</v>
      </c>
      <c r="AI36" s="4">
        <f t="shared" si="3"/>
        <v>463610.66064449924</v>
      </c>
      <c r="AJ36" s="4">
        <f t="shared" si="3"/>
        <v>463610.66064449924</v>
      </c>
      <c r="AK36" s="4">
        <f t="shared" si="3"/>
        <v>463610.66064449924</v>
      </c>
      <c r="AL36" s="4">
        <f t="shared" si="3"/>
        <v>463610.66064449924</v>
      </c>
      <c r="AM36" s="4">
        <f t="shared" si="3"/>
        <v>463610.66064449924</v>
      </c>
      <c r="AN36" s="4">
        <f t="shared" si="3"/>
        <v>463610.66064449924</v>
      </c>
      <c r="AO36" s="4">
        <f t="shared" si="3"/>
        <v>463610.66064449924</v>
      </c>
      <c r="AP36" s="4">
        <f t="shared" si="3"/>
        <v>463610.66064449924</v>
      </c>
      <c r="AQ36" s="4">
        <f t="shared" si="3"/>
        <v>463610.66064449924</v>
      </c>
      <c r="AR36" s="4">
        <f t="shared" si="3"/>
        <v>463610.66064449924</v>
      </c>
      <c r="AS36" s="4">
        <f t="shared" si="3"/>
        <v>463610.66064449924</v>
      </c>
      <c r="AT36" s="4">
        <f t="shared" si="3"/>
        <v>463610.66064449924</v>
      </c>
      <c r="AU36" s="4">
        <f t="shared" si="3"/>
        <v>463610.66064449924</v>
      </c>
      <c r="AV36" s="4">
        <f t="shared" si="3"/>
        <v>463610.66064449924</v>
      </c>
      <c r="AW36" s="4">
        <f t="shared" si="3"/>
        <v>463610.66064449924</v>
      </c>
      <c r="AX36" s="4">
        <f t="shared" si="3"/>
        <v>463610.66064449924</v>
      </c>
      <c r="AY36" s="4">
        <f t="shared" si="3"/>
        <v>463610.66064449924</v>
      </c>
      <c r="AZ36" s="4">
        <f t="shared" si="3"/>
        <v>463610.66064449924</v>
      </c>
      <c r="BA36" s="4">
        <f t="shared" si="3"/>
        <v>463610.66064449924</v>
      </c>
      <c r="BB36" s="4">
        <f t="shared" si="3"/>
        <v>463610.66064449924</v>
      </c>
    </row>
    <row r="37" spans="1:54" x14ac:dyDescent="0.35">
      <c r="A37" s="13" t="s">
        <v>131</v>
      </c>
      <c r="C37" s="1">
        <v>2</v>
      </c>
      <c r="D37" s="4">
        <f>G7</f>
        <v>7322.4000000000005</v>
      </c>
      <c r="E37" s="3">
        <f>SUM(G37:BB37)</f>
        <v>344152.8000000001</v>
      </c>
      <c r="F37" s="3">
        <f t="shared" ref="F37:F42" si="4">E37/48</f>
        <v>7169.8500000000022</v>
      </c>
      <c r="G37" s="4">
        <f>IF($C37&lt;=G$35,$D37,0)</f>
        <v>0</v>
      </c>
      <c r="H37" s="4">
        <f t="shared" si="2"/>
        <v>7322.4000000000005</v>
      </c>
      <c r="I37" s="4">
        <f t="shared" si="2"/>
        <v>7322.4000000000005</v>
      </c>
      <c r="J37" s="4">
        <f t="shared" si="2"/>
        <v>7322.4000000000005</v>
      </c>
      <c r="K37" s="4">
        <f t="shared" si="2"/>
        <v>7322.4000000000005</v>
      </c>
      <c r="L37" s="4">
        <f t="shared" si="3"/>
        <v>7322.4000000000005</v>
      </c>
      <c r="M37" s="4">
        <f t="shared" si="3"/>
        <v>7322.4000000000005</v>
      </c>
      <c r="N37" s="4">
        <f t="shared" si="3"/>
        <v>7322.4000000000005</v>
      </c>
      <c r="O37" s="4">
        <f t="shared" si="3"/>
        <v>7322.4000000000005</v>
      </c>
      <c r="P37" s="4">
        <f t="shared" si="3"/>
        <v>7322.4000000000005</v>
      </c>
      <c r="Q37" s="4">
        <f t="shared" si="3"/>
        <v>7322.4000000000005</v>
      </c>
      <c r="R37" s="4">
        <f t="shared" si="3"/>
        <v>7322.4000000000005</v>
      </c>
      <c r="S37" s="4">
        <f t="shared" si="3"/>
        <v>7322.4000000000005</v>
      </c>
      <c r="T37" s="4">
        <f t="shared" si="3"/>
        <v>7322.4000000000005</v>
      </c>
      <c r="U37" s="4">
        <f t="shared" si="3"/>
        <v>7322.4000000000005</v>
      </c>
      <c r="V37" s="4">
        <f t="shared" si="3"/>
        <v>7322.4000000000005</v>
      </c>
      <c r="W37" s="4">
        <f t="shared" si="3"/>
        <v>7322.4000000000005</v>
      </c>
      <c r="X37" s="4">
        <f t="shared" si="3"/>
        <v>7322.4000000000005</v>
      </c>
      <c r="Y37" s="4">
        <f t="shared" si="3"/>
        <v>7322.4000000000005</v>
      </c>
      <c r="Z37" s="4">
        <f t="shared" si="3"/>
        <v>7322.4000000000005</v>
      </c>
      <c r="AA37" s="4">
        <f t="shared" si="3"/>
        <v>7322.4000000000005</v>
      </c>
      <c r="AB37" s="4">
        <f t="shared" si="3"/>
        <v>7322.4000000000005</v>
      </c>
      <c r="AC37" s="4">
        <f t="shared" si="3"/>
        <v>7322.4000000000005</v>
      </c>
      <c r="AD37" s="4">
        <f t="shared" si="3"/>
        <v>7322.4000000000005</v>
      </c>
      <c r="AE37" s="4">
        <f t="shared" si="3"/>
        <v>7322.4000000000005</v>
      </c>
      <c r="AF37" s="4">
        <f t="shared" si="3"/>
        <v>7322.4000000000005</v>
      </c>
      <c r="AG37" s="4">
        <f t="shared" si="3"/>
        <v>7322.4000000000005</v>
      </c>
      <c r="AH37" s="4">
        <f t="shared" si="3"/>
        <v>7322.4000000000005</v>
      </c>
      <c r="AI37" s="4">
        <f t="shared" si="3"/>
        <v>7322.4000000000005</v>
      </c>
      <c r="AJ37" s="4">
        <f t="shared" si="3"/>
        <v>7322.4000000000005</v>
      </c>
      <c r="AK37" s="4">
        <f t="shared" si="3"/>
        <v>7322.4000000000005</v>
      </c>
      <c r="AL37" s="4">
        <f t="shared" si="3"/>
        <v>7322.4000000000005</v>
      </c>
      <c r="AM37" s="4">
        <f t="shared" si="3"/>
        <v>7322.4000000000005</v>
      </c>
      <c r="AN37" s="4">
        <f t="shared" si="3"/>
        <v>7322.4000000000005</v>
      </c>
      <c r="AO37" s="4">
        <f t="shared" si="3"/>
        <v>7322.4000000000005</v>
      </c>
      <c r="AP37" s="4">
        <f t="shared" si="3"/>
        <v>7322.4000000000005</v>
      </c>
      <c r="AQ37" s="4">
        <f t="shared" si="3"/>
        <v>7322.4000000000005</v>
      </c>
      <c r="AR37" s="4">
        <f t="shared" si="3"/>
        <v>7322.4000000000005</v>
      </c>
      <c r="AS37" s="4">
        <f t="shared" si="3"/>
        <v>7322.4000000000005</v>
      </c>
      <c r="AT37" s="4">
        <f t="shared" si="3"/>
        <v>7322.4000000000005</v>
      </c>
      <c r="AU37" s="4">
        <f t="shared" si="3"/>
        <v>7322.4000000000005</v>
      </c>
      <c r="AV37" s="4">
        <f t="shared" si="3"/>
        <v>7322.4000000000005</v>
      </c>
      <c r="AW37" s="4">
        <f t="shared" si="3"/>
        <v>7322.4000000000005</v>
      </c>
      <c r="AX37" s="4">
        <f t="shared" si="3"/>
        <v>7322.4000000000005</v>
      </c>
      <c r="AY37" s="4">
        <f t="shared" si="3"/>
        <v>7322.4000000000005</v>
      </c>
      <c r="AZ37" s="4">
        <f t="shared" si="3"/>
        <v>7322.4000000000005</v>
      </c>
      <c r="BA37" s="4">
        <f t="shared" si="3"/>
        <v>7322.4000000000005</v>
      </c>
      <c r="BB37" s="4">
        <f t="shared" si="3"/>
        <v>7322.4000000000005</v>
      </c>
    </row>
    <row r="38" spans="1:54" x14ac:dyDescent="0.35">
      <c r="A38" s="13" t="s">
        <v>155</v>
      </c>
      <c r="C38" s="1">
        <v>4</v>
      </c>
      <c r="D38" s="4">
        <f>F20</f>
        <v>18000.329999999998</v>
      </c>
      <c r="E38" s="3">
        <f>SUM(G38:BB38)</f>
        <v>810014.84999999951</v>
      </c>
      <c r="F38" s="3">
        <f t="shared" si="4"/>
        <v>16875.30937499999</v>
      </c>
      <c r="G38" s="4">
        <f>IF($C38&lt;=G$35,$D38,0)</f>
        <v>0</v>
      </c>
      <c r="H38" s="4">
        <f t="shared" si="2"/>
        <v>0</v>
      </c>
      <c r="I38" s="4">
        <f t="shared" si="2"/>
        <v>0</v>
      </c>
      <c r="J38" s="4">
        <f t="shared" si="2"/>
        <v>18000.329999999998</v>
      </c>
      <c r="K38" s="4">
        <f t="shared" si="2"/>
        <v>18000.329999999998</v>
      </c>
      <c r="L38" s="4">
        <f t="shared" si="3"/>
        <v>18000.329999999998</v>
      </c>
      <c r="M38" s="4">
        <f t="shared" si="3"/>
        <v>18000.329999999998</v>
      </c>
      <c r="N38" s="4">
        <f t="shared" si="3"/>
        <v>18000.329999999998</v>
      </c>
      <c r="O38" s="4">
        <f t="shared" si="3"/>
        <v>18000.329999999998</v>
      </c>
      <c r="P38" s="4">
        <f t="shared" si="3"/>
        <v>18000.329999999998</v>
      </c>
      <c r="Q38" s="4">
        <f t="shared" si="3"/>
        <v>18000.329999999998</v>
      </c>
      <c r="R38" s="4">
        <f t="shared" si="3"/>
        <v>18000.329999999998</v>
      </c>
      <c r="S38" s="4">
        <f t="shared" si="3"/>
        <v>18000.329999999998</v>
      </c>
      <c r="T38" s="4">
        <f t="shared" si="3"/>
        <v>18000.329999999998</v>
      </c>
      <c r="U38" s="4">
        <f t="shared" si="3"/>
        <v>18000.329999999998</v>
      </c>
      <c r="V38" s="4">
        <f t="shared" si="3"/>
        <v>18000.329999999998</v>
      </c>
      <c r="W38" s="4">
        <f t="shared" si="3"/>
        <v>18000.329999999998</v>
      </c>
      <c r="X38" s="4">
        <f t="shared" si="3"/>
        <v>18000.329999999998</v>
      </c>
      <c r="Y38" s="4">
        <f t="shared" si="3"/>
        <v>18000.329999999998</v>
      </c>
      <c r="Z38" s="4">
        <f t="shared" si="3"/>
        <v>18000.329999999998</v>
      </c>
      <c r="AA38" s="4">
        <f t="shared" si="3"/>
        <v>18000.329999999998</v>
      </c>
      <c r="AB38" s="4">
        <f t="shared" si="3"/>
        <v>18000.329999999998</v>
      </c>
      <c r="AC38" s="4">
        <f t="shared" si="3"/>
        <v>18000.329999999998</v>
      </c>
      <c r="AD38" s="4">
        <f t="shared" si="3"/>
        <v>18000.329999999998</v>
      </c>
      <c r="AE38" s="4">
        <f t="shared" si="3"/>
        <v>18000.329999999998</v>
      </c>
      <c r="AF38" s="4">
        <f t="shared" si="3"/>
        <v>18000.329999999998</v>
      </c>
      <c r="AG38" s="4">
        <f t="shared" si="3"/>
        <v>18000.329999999998</v>
      </c>
      <c r="AH38" s="4">
        <f t="shared" si="3"/>
        <v>18000.329999999998</v>
      </c>
      <c r="AI38" s="4">
        <f t="shared" si="3"/>
        <v>18000.329999999998</v>
      </c>
      <c r="AJ38" s="4">
        <f t="shared" si="3"/>
        <v>18000.329999999998</v>
      </c>
      <c r="AK38" s="4">
        <f t="shared" si="3"/>
        <v>18000.329999999998</v>
      </c>
      <c r="AL38" s="4">
        <f t="shared" si="3"/>
        <v>18000.329999999998</v>
      </c>
      <c r="AM38" s="4">
        <f t="shared" si="3"/>
        <v>18000.329999999998</v>
      </c>
      <c r="AN38" s="4">
        <f t="shared" si="3"/>
        <v>18000.329999999998</v>
      </c>
      <c r="AO38" s="4">
        <f t="shared" si="3"/>
        <v>18000.329999999998</v>
      </c>
      <c r="AP38" s="4">
        <f t="shared" si="3"/>
        <v>18000.329999999998</v>
      </c>
      <c r="AQ38" s="4">
        <f t="shared" si="3"/>
        <v>18000.329999999998</v>
      </c>
      <c r="AR38" s="4">
        <f t="shared" si="3"/>
        <v>18000.329999999998</v>
      </c>
      <c r="AS38" s="4">
        <f t="shared" si="3"/>
        <v>18000.329999999998</v>
      </c>
      <c r="AT38" s="4">
        <f t="shared" si="3"/>
        <v>18000.329999999998</v>
      </c>
      <c r="AU38" s="4">
        <f t="shared" si="3"/>
        <v>18000.329999999998</v>
      </c>
      <c r="AV38" s="4">
        <f t="shared" si="3"/>
        <v>18000.329999999998</v>
      </c>
      <c r="AW38" s="4">
        <f t="shared" si="3"/>
        <v>18000.329999999998</v>
      </c>
      <c r="AX38" s="4">
        <f t="shared" si="3"/>
        <v>18000.329999999998</v>
      </c>
      <c r="AY38" s="4">
        <f t="shared" si="3"/>
        <v>18000.329999999998</v>
      </c>
      <c r="AZ38" s="4">
        <f t="shared" si="3"/>
        <v>18000.329999999998</v>
      </c>
      <c r="BA38" s="4">
        <f t="shared" si="3"/>
        <v>18000.329999999998</v>
      </c>
      <c r="BB38" s="4">
        <f t="shared" si="3"/>
        <v>18000.329999999998</v>
      </c>
    </row>
    <row r="39" spans="1:54" x14ac:dyDescent="0.35">
      <c r="A39" s="13" t="s">
        <v>160</v>
      </c>
      <c r="C39" s="1">
        <v>6</v>
      </c>
      <c r="D39" s="4">
        <f>F28</f>
        <v>11590.266516112482</v>
      </c>
      <c r="E39" s="3">
        <f>SUM(G39:BB39)</f>
        <v>498381.460192837</v>
      </c>
      <c r="F39" s="3">
        <f t="shared" si="4"/>
        <v>10382.947087350771</v>
      </c>
      <c r="G39" s="4">
        <f>IF($C39&lt;=G$35,$D39,0)</f>
        <v>0</v>
      </c>
      <c r="H39" s="4">
        <f t="shared" si="2"/>
        <v>0</v>
      </c>
      <c r="I39" s="4">
        <f t="shared" si="2"/>
        <v>0</v>
      </c>
      <c r="J39" s="4">
        <f t="shared" si="2"/>
        <v>0</v>
      </c>
      <c r="K39" s="4">
        <f t="shared" si="2"/>
        <v>0</v>
      </c>
      <c r="L39" s="4">
        <f t="shared" si="3"/>
        <v>11590.266516112482</v>
      </c>
      <c r="M39" s="4">
        <f t="shared" si="3"/>
        <v>11590.266516112482</v>
      </c>
      <c r="N39" s="4">
        <f t="shared" si="3"/>
        <v>11590.266516112482</v>
      </c>
      <c r="O39" s="4">
        <f t="shared" si="3"/>
        <v>11590.266516112482</v>
      </c>
      <c r="P39" s="4">
        <f t="shared" si="3"/>
        <v>11590.266516112482</v>
      </c>
      <c r="Q39" s="4">
        <f t="shared" si="3"/>
        <v>11590.266516112482</v>
      </c>
      <c r="R39" s="4">
        <f t="shared" si="3"/>
        <v>11590.266516112482</v>
      </c>
      <c r="S39" s="4">
        <f t="shared" si="3"/>
        <v>11590.266516112482</v>
      </c>
      <c r="T39" s="4">
        <f t="shared" si="3"/>
        <v>11590.266516112482</v>
      </c>
      <c r="U39" s="4">
        <f t="shared" si="3"/>
        <v>11590.266516112482</v>
      </c>
      <c r="V39" s="4">
        <f t="shared" si="3"/>
        <v>11590.266516112482</v>
      </c>
      <c r="W39" s="4">
        <f t="shared" si="3"/>
        <v>11590.266516112482</v>
      </c>
      <c r="X39" s="4">
        <f t="shared" si="3"/>
        <v>11590.266516112482</v>
      </c>
      <c r="Y39" s="4">
        <f t="shared" si="3"/>
        <v>11590.266516112482</v>
      </c>
      <c r="Z39" s="4">
        <f t="shared" si="3"/>
        <v>11590.266516112482</v>
      </c>
      <c r="AA39" s="4">
        <f t="shared" si="3"/>
        <v>11590.266516112482</v>
      </c>
      <c r="AB39" s="4">
        <f t="shared" si="3"/>
        <v>11590.266516112482</v>
      </c>
      <c r="AC39" s="4">
        <f t="shared" si="3"/>
        <v>11590.266516112482</v>
      </c>
      <c r="AD39" s="4">
        <f t="shared" si="3"/>
        <v>11590.266516112482</v>
      </c>
      <c r="AE39" s="4">
        <f t="shared" si="3"/>
        <v>11590.266516112482</v>
      </c>
      <c r="AF39" s="4">
        <f t="shared" si="3"/>
        <v>11590.266516112482</v>
      </c>
      <c r="AG39" s="4">
        <f t="shared" si="3"/>
        <v>11590.266516112482</v>
      </c>
      <c r="AH39" s="4">
        <f t="shared" si="3"/>
        <v>11590.266516112482</v>
      </c>
      <c r="AI39" s="4">
        <f t="shared" si="3"/>
        <v>11590.266516112482</v>
      </c>
      <c r="AJ39" s="4">
        <f t="shared" si="3"/>
        <v>11590.266516112482</v>
      </c>
      <c r="AK39" s="4">
        <f t="shared" si="3"/>
        <v>11590.266516112482</v>
      </c>
      <c r="AL39" s="4">
        <f t="shared" si="3"/>
        <v>11590.266516112482</v>
      </c>
      <c r="AM39" s="4">
        <f t="shared" si="3"/>
        <v>11590.266516112482</v>
      </c>
      <c r="AN39" s="4">
        <f t="shared" si="3"/>
        <v>11590.266516112482</v>
      </c>
      <c r="AO39" s="4">
        <f t="shared" si="3"/>
        <v>11590.266516112482</v>
      </c>
      <c r="AP39" s="4">
        <f t="shared" si="3"/>
        <v>11590.266516112482</v>
      </c>
      <c r="AQ39" s="4">
        <f t="shared" si="3"/>
        <v>11590.266516112482</v>
      </c>
      <c r="AR39" s="4">
        <f t="shared" si="3"/>
        <v>11590.266516112482</v>
      </c>
      <c r="AS39" s="4">
        <f t="shared" si="3"/>
        <v>11590.266516112482</v>
      </c>
      <c r="AT39" s="4">
        <f t="shared" si="3"/>
        <v>11590.266516112482</v>
      </c>
      <c r="AU39" s="4">
        <f t="shared" si="3"/>
        <v>11590.266516112482</v>
      </c>
      <c r="AV39" s="4">
        <f t="shared" si="3"/>
        <v>11590.266516112482</v>
      </c>
      <c r="AW39" s="4">
        <f t="shared" si="3"/>
        <v>11590.266516112482</v>
      </c>
      <c r="AX39" s="4">
        <f t="shared" si="3"/>
        <v>11590.266516112482</v>
      </c>
      <c r="AY39" s="4">
        <f t="shared" si="3"/>
        <v>11590.266516112482</v>
      </c>
      <c r="AZ39" s="4">
        <f t="shared" si="3"/>
        <v>11590.266516112482</v>
      </c>
      <c r="BA39" s="4">
        <f t="shared" si="3"/>
        <v>11590.266516112482</v>
      </c>
      <c r="BB39" s="4">
        <f t="shared" si="3"/>
        <v>11590.266516112482</v>
      </c>
    </row>
    <row r="40" spans="1:54" x14ac:dyDescent="0.35">
      <c r="A40" s="13" t="s">
        <v>168</v>
      </c>
      <c r="C40" s="1">
        <v>4</v>
      </c>
      <c r="D40" s="4">
        <f>G31</f>
        <v>4800</v>
      </c>
      <c r="E40" s="3">
        <f>SUM(G40:BB40)</f>
        <v>216000</v>
      </c>
      <c r="F40" s="3">
        <f t="shared" si="4"/>
        <v>4500</v>
      </c>
      <c r="G40" s="4">
        <f>IF($C40&lt;=G$35,$D40,0)</f>
        <v>0</v>
      </c>
      <c r="H40" s="4">
        <f t="shared" si="2"/>
        <v>0</v>
      </c>
      <c r="I40" s="4">
        <f t="shared" si="2"/>
        <v>0</v>
      </c>
      <c r="J40" s="4">
        <f t="shared" si="2"/>
        <v>4800</v>
      </c>
      <c r="K40" s="4">
        <f t="shared" si="2"/>
        <v>4800</v>
      </c>
      <c r="L40" s="4">
        <f t="shared" si="3"/>
        <v>4800</v>
      </c>
      <c r="M40" s="4">
        <f t="shared" si="3"/>
        <v>4800</v>
      </c>
      <c r="N40" s="4">
        <f t="shared" si="3"/>
        <v>4800</v>
      </c>
      <c r="O40" s="4">
        <f t="shared" si="3"/>
        <v>4800</v>
      </c>
      <c r="P40" s="4">
        <f t="shared" si="3"/>
        <v>4800</v>
      </c>
      <c r="Q40" s="4">
        <f t="shared" si="3"/>
        <v>4800</v>
      </c>
      <c r="R40" s="4">
        <f t="shared" si="3"/>
        <v>4800</v>
      </c>
      <c r="S40" s="4">
        <f t="shared" si="3"/>
        <v>4800</v>
      </c>
      <c r="T40" s="4">
        <f t="shared" si="3"/>
        <v>4800</v>
      </c>
      <c r="U40" s="4">
        <f t="shared" si="3"/>
        <v>4800</v>
      </c>
      <c r="V40" s="4">
        <f t="shared" si="3"/>
        <v>4800</v>
      </c>
      <c r="W40" s="4">
        <f t="shared" si="3"/>
        <v>4800</v>
      </c>
      <c r="X40" s="4">
        <f t="shared" si="3"/>
        <v>4800</v>
      </c>
      <c r="Y40" s="4">
        <f t="shared" si="3"/>
        <v>4800</v>
      </c>
      <c r="Z40" s="4">
        <f t="shared" si="3"/>
        <v>4800</v>
      </c>
      <c r="AA40" s="4">
        <f t="shared" si="3"/>
        <v>4800</v>
      </c>
      <c r="AB40" s="4">
        <f t="shared" si="3"/>
        <v>4800</v>
      </c>
      <c r="AC40" s="4">
        <f t="shared" si="3"/>
        <v>4800</v>
      </c>
      <c r="AD40" s="4">
        <f t="shared" si="3"/>
        <v>4800</v>
      </c>
      <c r="AE40" s="4">
        <f t="shared" si="3"/>
        <v>4800</v>
      </c>
      <c r="AF40" s="4">
        <f t="shared" si="3"/>
        <v>4800</v>
      </c>
      <c r="AG40" s="4">
        <f t="shared" si="3"/>
        <v>4800</v>
      </c>
      <c r="AH40" s="4">
        <f t="shared" si="3"/>
        <v>4800</v>
      </c>
      <c r="AI40" s="4">
        <f t="shared" si="3"/>
        <v>4800</v>
      </c>
      <c r="AJ40" s="4">
        <f t="shared" si="3"/>
        <v>4800</v>
      </c>
      <c r="AK40" s="4">
        <f t="shared" si="3"/>
        <v>4800</v>
      </c>
      <c r="AL40" s="4">
        <f t="shared" si="3"/>
        <v>4800</v>
      </c>
      <c r="AM40" s="4">
        <f t="shared" si="3"/>
        <v>4800</v>
      </c>
      <c r="AN40" s="4">
        <f t="shared" si="3"/>
        <v>4800</v>
      </c>
      <c r="AO40" s="4">
        <f t="shared" si="3"/>
        <v>4800</v>
      </c>
      <c r="AP40" s="4">
        <f t="shared" si="3"/>
        <v>4800</v>
      </c>
      <c r="AQ40" s="4">
        <f t="shared" si="3"/>
        <v>4800</v>
      </c>
      <c r="AR40" s="4">
        <f t="shared" si="3"/>
        <v>4800</v>
      </c>
      <c r="AS40" s="4">
        <f t="shared" si="3"/>
        <v>4800</v>
      </c>
      <c r="AT40" s="4">
        <f t="shared" si="3"/>
        <v>4800</v>
      </c>
      <c r="AU40" s="4">
        <f t="shared" si="3"/>
        <v>4800</v>
      </c>
      <c r="AV40" s="4">
        <f t="shared" si="3"/>
        <v>4800</v>
      </c>
      <c r="AW40" s="4">
        <f t="shared" si="3"/>
        <v>4800</v>
      </c>
      <c r="AX40" s="4">
        <f t="shared" si="3"/>
        <v>4800</v>
      </c>
      <c r="AY40" s="4">
        <f t="shared" si="3"/>
        <v>4800</v>
      </c>
      <c r="AZ40" s="4">
        <f t="shared" si="3"/>
        <v>4800</v>
      </c>
      <c r="BA40" s="4">
        <f t="shared" si="3"/>
        <v>4800</v>
      </c>
      <c r="BB40" s="4">
        <f t="shared" si="3"/>
        <v>4800</v>
      </c>
    </row>
    <row r="41" spans="1:54" x14ac:dyDescent="0.35"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54" x14ac:dyDescent="0.35">
      <c r="A42" s="13" t="s">
        <v>30</v>
      </c>
      <c r="D42" s="17"/>
      <c r="E42" s="16">
        <f>SUM(E36:E40)</f>
        <v>21803807.517906301</v>
      </c>
      <c r="F42" s="16">
        <f t="shared" si="4"/>
        <v>454245.98995638127</v>
      </c>
      <c r="G42" s="16">
        <f>SUM(G36:G41)</f>
        <v>0</v>
      </c>
      <c r="H42" s="16">
        <f t="shared" ref="H42:BB42" si="5">SUM(H36:H41)</f>
        <v>7322.4000000000005</v>
      </c>
      <c r="I42" s="16">
        <f t="shared" si="5"/>
        <v>7322.4000000000005</v>
      </c>
      <c r="J42" s="16">
        <f t="shared" si="5"/>
        <v>30122.73</v>
      </c>
      <c r="K42" s="16">
        <f t="shared" si="5"/>
        <v>30122.73</v>
      </c>
      <c r="L42" s="16">
        <f t="shared" si="5"/>
        <v>505323.65716061176</v>
      </c>
      <c r="M42" s="16">
        <f t="shared" si="5"/>
        <v>505323.65716061176</v>
      </c>
      <c r="N42" s="16">
        <f t="shared" si="5"/>
        <v>505323.65716061176</v>
      </c>
      <c r="O42" s="16">
        <f t="shared" si="5"/>
        <v>505323.65716061176</v>
      </c>
      <c r="P42" s="16">
        <f t="shared" si="5"/>
        <v>505323.65716061176</v>
      </c>
      <c r="Q42" s="16">
        <f t="shared" si="5"/>
        <v>505323.65716061176</v>
      </c>
      <c r="R42" s="16">
        <f t="shared" si="5"/>
        <v>505323.65716061176</v>
      </c>
      <c r="S42" s="16">
        <f t="shared" si="5"/>
        <v>505323.65716061176</v>
      </c>
      <c r="T42" s="16">
        <f t="shared" si="5"/>
        <v>505323.65716061176</v>
      </c>
      <c r="U42" s="16">
        <f t="shared" si="5"/>
        <v>505323.65716061176</v>
      </c>
      <c r="V42" s="16">
        <f t="shared" si="5"/>
        <v>505323.65716061176</v>
      </c>
      <c r="W42" s="16">
        <f t="shared" si="5"/>
        <v>505323.65716061176</v>
      </c>
      <c r="X42" s="16">
        <f t="shared" si="5"/>
        <v>505323.65716061176</v>
      </c>
      <c r="Y42" s="16">
        <f t="shared" si="5"/>
        <v>505323.65716061176</v>
      </c>
      <c r="Z42" s="16">
        <f t="shared" si="5"/>
        <v>505323.65716061176</v>
      </c>
      <c r="AA42" s="16">
        <f t="shared" si="5"/>
        <v>505323.65716061176</v>
      </c>
      <c r="AB42" s="16">
        <f t="shared" si="5"/>
        <v>505323.65716061176</v>
      </c>
      <c r="AC42" s="16">
        <f t="shared" si="5"/>
        <v>505323.65716061176</v>
      </c>
      <c r="AD42" s="16">
        <f t="shared" si="5"/>
        <v>505323.65716061176</v>
      </c>
      <c r="AE42" s="16">
        <f t="shared" si="5"/>
        <v>505323.65716061176</v>
      </c>
      <c r="AF42" s="16">
        <f t="shared" si="5"/>
        <v>505323.65716061176</v>
      </c>
      <c r="AG42" s="16">
        <f t="shared" si="5"/>
        <v>505323.65716061176</v>
      </c>
      <c r="AH42" s="16">
        <f t="shared" si="5"/>
        <v>505323.65716061176</v>
      </c>
      <c r="AI42" s="16">
        <f t="shared" si="5"/>
        <v>505323.65716061176</v>
      </c>
      <c r="AJ42" s="16">
        <f t="shared" si="5"/>
        <v>505323.65716061176</v>
      </c>
      <c r="AK42" s="16">
        <f t="shared" si="5"/>
        <v>505323.65716061176</v>
      </c>
      <c r="AL42" s="16">
        <f t="shared" si="5"/>
        <v>505323.65716061176</v>
      </c>
      <c r="AM42" s="16">
        <f t="shared" si="5"/>
        <v>505323.65716061176</v>
      </c>
      <c r="AN42" s="16">
        <f t="shared" si="5"/>
        <v>505323.65716061176</v>
      </c>
      <c r="AO42" s="16">
        <f t="shared" si="5"/>
        <v>505323.65716061176</v>
      </c>
      <c r="AP42" s="16">
        <f t="shared" si="5"/>
        <v>505323.65716061176</v>
      </c>
      <c r="AQ42" s="16">
        <f t="shared" si="5"/>
        <v>505323.65716061176</v>
      </c>
      <c r="AR42" s="16">
        <f t="shared" si="5"/>
        <v>505323.65716061176</v>
      </c>
      <c r="AS42" s="16">
        <f t="shared" si="5"/>
        <v>505323.65716061176</v>
      </c>
      <c r="AT42" s="16">
        <f t="shared" si="5"/>
        <v>505323.65716061176</v>
      </c>
      <c r="AU42" s="16">
        <f t="shared" si="5"/>
        <v>505323.65716061176</v>
      </c>
      <c r="AV42" s="16">
        <f t="shared" si="5"/>
        <v>505323.65716061176</v>
      </c>
      <c r="AW42" s="16">
        <f t="shared" si="5"/>
        <v>505323.65716061176</v>
      </c>
      <c r="AX42" s="16">
        <f t="shared" si="5"/>
        <v>505323.65716061176</v>
      </c>
      <c r="AY42" s="16">
        <f t="shared" si="5"/>
        <v>505323.65716061176</v>
      </c>
      <c r="AZ42" s="16">
        <f t="shared" si="5"/>
        <v>505323.65716061176</v>
      </c>
      <c r="BA42" s="16">
        <f t="shared" si="5"/>
        <v>505323.65716061176</v>
      </c>
      <c r="BB42" s="16">
        <f t="shared" si="5"/>
        <v>505323.65716061176</v>
      </c>
    </row>
    <row r="44" spans="1:54" x14ac:dyDescent="0.35">
      <c r="L44" s="3"/>
    </row>
  </sheetData>
  <mergeCells count="6">
    <mergeCell ref="B34:BB34"/>
    <mergeCell ref="B5:F5"/>
    <mergeCell ref="B9:K9"/>
    <mergeCell ref="B18:F18"/>
    <mergeCell ref="B22:F22"/>
    <mergeCell ref="B29:G29"/>
  </mergeCells>
  <dataValidations disablePrompts="1" count="1">
    <dataValidation type="list" allowBlank="1" showInputMessage="1" showErrorMessage="1" sqref="C11:C15" xr:uid="{F1899E7C-6530-43B1-B23C-01A65023EE33}">
      <formula1>"sim,não"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0125fc-ebc8-4455-853d-07b0b4f9bddd">
      <Terms xmlns="http://schemas.microsoft.com/office/infopath/2007/PartnerControls"/>
    </lcf76f155ced4ddcb4097134ff3c332f>
    <TaxCatchAll xmlns="96ca9473-28de-45f3-ac64-0ada85afc8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0C93064EE90F45943BFE6320769283" ma:contentTypeVersion="13" ma:contentTypeDescription="Crie um novo documento." ma:contentTypeScope="" ma:versionID="bd7d1bb2752edbf08ecee3d6ac9b5b92">
  <xsd:schema xmlns:xsd="http://www.w3.org/2001/XMLSchema" xmlns:xs="http://www.w3.org/2001/XMLSchema" xmlns:p="http://schemas.microsoft.com/office/2006/metadata/properties" xmlns:ns2="730125fc-ebc8-4455-853d-07b0b4f9bddd" xmlns:ns3="96ca9473-28de-45f3-ac64-0ada85afc80b" targetNamespace="http://schemas.microsoft.com/office/2006/metadata/properties" ma:root="true" ma:fieldsID="1fe27dcbe36baa87ce8a8e4f807a9a69" ns2:_="" ns3:_="">
    <xsd:import namespace="730125fc-ebc8-4455-853d-07b0b4f9bddd"/>
    <xsd:import namespace="96ca9473-28de-45f3-ac64-0ada85afc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125fc-ebc8-4455-853d-07b0b4f9b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a9473-28de-45f3-ac64-0ada85afc80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aaf37c-cdf0-4b77-864e-631dcaeba1bb}" ma:internalName="TaxCatchAll" ma:showField="CatchAllData" ma:web="96ca9473-28de-45f3-ac64-0ada85afc8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BF4C74-216C-4424-ACDA-3078B03A851A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96ca9473-28de-45f3-ac64-0ada85afc80b"/>
    <ds:schemaRef ds:uri="http://www.w3.org/XML/1998/namespace"/>
    <ds:schemaRef ds:uri="http://schemas.openxmlformats.org/package/2006/metadata/core-properties"/>
    <ds:schemaRef ds:uri="730125fc-ebc8-4455-853d-07b0b4f9bddd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FECEA5-CF15-4C24-973A-B8BB26CEA9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C24BD7-7426-440B-81B1-76F8BAEC2AF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Gráficos</vt:lpstr>
      </vt:variant>
      <vt:variant>
        <vt:i4>3</vt:i4>
      </vt:variant>
    </vt:vector>
  </HeadingPairs>
  <TitlesOfParts>
    <vt:vector size="10" baseType="lpstr">
      <vt:lpstr>Introdução</vt:lpstr>
      <vt:lpstr>Painel</vt:lpstr>
      <vt:lpstr>DRE</vt:lpstr>
      <vt:lpstr>Despesas e Custos</vt:lpstr>
      <vt:lpstr>Investimentos</vt:lpstr>
      <vt:lpstr>Tributos</vt:lpstr>
      <vt:lpstr>Receitas</vt:lpstr>
      <vt:lpstr>Gráfico Despesas e Custos</vt:lpstr>
      <vt:lpstr>Gráfico Investimentos</vt:lpstr>
      <vt:lpstr>Gráfico Receitas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2025-12-30T14:19:48Z</dcterms:created>
  <dcterms:modified xsi:type="dcterms:W3CDTF">2026-01-12T17:37:07Z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0x010100E40C93064EE90F45943BFE6320769283</vt:lpwstr>
  </property>
  <property fmtid="{D5CDD505-2E9C-101B-9397-08002B2CF9AE}" pid="3" name="MediaServiceImageTags">
    <vt:lpwstr/>
  </property>
  <property fmtid="{D5CDD505-2E9C-101B-9397-08002B2CF9AE}" pid="4" name="Order">
    <vt:r8>2395800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