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filterPrivacy="1" defaultThemeVersion="124226"/>
  <xr:revisionPtr revIDLastSave="3" documentId="13_ncr:1_{6736B62C-7209-4F77-8869-3EE8415A92E5}" xr6:coauthVersionLast="47" xr6:coauthVersionMax="47" xr10:uidLastSave="{CF79E912-788B-422A-838A-FDDB137AC329}"/>
  <bookViews>
    <workbookView xWindow="20370" yWindow="-120" windowWidth="29040" windowHeight="15840" xr2:uid="{00000000-000D-0000-FFFF-FFFF00000000}"/>
  </bookViews>
  <sheets>
    <sheet name="RESUMO" sheetId="130" r:id="rId1"/>
    <sheet name="Q4B" sheetId="127" r:id="rId2"/>
    <sheet name="Q9B" sheetId="128" r:id="rId3"/>
    <sheet name="CAPEX" sheetId="97" r:id="rId4"/>
    <sheet name="OPEX" sheetId="122" r:id="rId5"/>
    <sheet name="MEMO_OPEX" sheetId="123" r:id="rId6"/>
    <sheet name="MEMO CAPEX_1" sheetId="107" r:id="rId7"/>
    <sheet name="MEMO CAPEX_2" sheetId="112" r:id="rId8"/>
    <sheet name="MEMO CAPEX_3" sheetId="114" r:id="rId9"/>
    <sheet name="MEMO CAPEX_5" sheetId="129" r:id="rId10"/>
    <sheet name="MEMO CAPEX_6" sheetId="118" r:id="rId11"/>
    <sheet name="MEMO CAPEX_7" sheetId="121" r:id="rId12"/>
    <sheet name="MEMO_Obras_Mitigação" sheetId="125" r:id="rId13"/>
    <sheet name="Taxa Licenciamento" sheetId="27" r:id="rId14"/>
    <sheet name="TPU MAR-24" sheetId="91" r:id="rId15"/>
    <sheet name="SIEC-CPTM" sheetId="126" r:id="rId16"/>
  </sheets>
  <externalReferences>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s>
  <definedNames>
    <definedName name="____________a999" localSheetId="3" hidden="1">{#N/A,#N/A,FALSE,"ANEXO3 99 ERA";#N/A,#N/A,FALSE,"ANEXO3 99 UBÁ2";#N/A,#N/A,FALSE,"ANEXO3 99 DTU";#N/A,#N/A,FALSE,"ANEXO3 99 RDR";#N/A,#N/A,FALSE,"ANEXO3 99 UBÁ4";#N/A,#N/A,FALSE,"ANEXO3 99 UBÁ6"}</definedName>
    <definedName name="____________a999" localSheetId="6" hidden="1">{#N/A,#N/A,FALSE,"ANEXO3 99 ERA";#N/A,#N/A,FALSE,"ANEXO3 99 UBÁ2";#N/A,#N/A,FALSE,"ANEXO3 99 DTU";#N/A,#N/A,FALSE,"ANEXO3 99 RDR";#N/A,#N/A,FALSE,"ANEXO3 99 UBÁ4";#N/A,#N/A,FALSE,"ANEXO3 99 UBÁ6"}</definedName>
    <definedName name="____________a999" localSheetId="7" hidden="1">{#N/A,#N/A,FALSE,"ANEXO3 99 ERA";#N/A,#N/A,FALSE,"ANEXO3 99 UBÁ2";#N/A,#N/A,FALSE,"ANEXO3 99 DTU";#N/A,#N/A,FALSE,"ANEXO3 99 RDR";#N/A,#N/A,FALSE,"ANEXO3 99 UBÁ4";#N/A,#N/A,FALSE,"ANEXO3 99 UBÁ6"}</definedName>
    <definedName name="____________a999" localSheetId="10" hidden="1">{#N/A,#N/A,FALSE,"ANEXO3 99 ERA";#N/A,#N/A,FALSE,"ANEXO3 99 UBÁ2";#N/A,#N/A,FALSE,"ANEXO3 99 DTU";#N/A,#N/A,FALSE,"ANEXO3 99 RDR";#N/A,#N/A,FALSE,"ANEXO3 99 UBÁ4";#N/A,#N/A,FALSE,"ANEXO3 99 UBÁ6"}</definedName>
    <definedName name="____________a999" localSheetId="11" hidden="1">{#N/A,#N/A,FALSE,"ANEXO3 99 ERA";#N/A,#N/A,FALSE,"ANEXO3 99 UBÁ2";#N/A,#N/A,FALSE,"ANEXO3 99 DTU";#N/A,#N/A,FALSE,"ANEXO3 99 RDR";#N/A,#N/A,FALSE,"ANEXO3 99 UBÁ4";#N/A,#N/A,FALSE,"ANEXO3 99 UBÁ6"}</definedName>
    <definedName name="____________a999" localSheetId="5" hidden="1">{#N/A,#N/A,FALSE,"ANEXO3 99 ERA";#N/A,#N/A,FALSE,"ANEXO3 99 UBÁ2";#N/A,#N/A,FALSE,"ANEXO3 99 DTU";#N/A,#N/A,FALSE,"ANEXO3 99 RDR";#N/A,#N/A,FALSE,"ANEXO3 99 UBÁ4";#N/A,#N/A,FALSE,"ANEXO3 99 UBÁ6"}</definedName>
    <definedName name="____________a999" localSheetId="4" hidden="1">{#N/A,#N/A,FALSE,"ANEXO3 99 ERA";#N/A,#N/A,FALSE,"ANEXO3 99 UBÁ2";#N/A,#N/A,FALSE,"ANEXO3 99 DTU";#N/A,#N/A,FALSE,"ANEXO3 99 RDR";#N/A,#N/A,FALSE,"ANEXO3 99 UBÁ4";#N/A,#N/A,FALSE,"ANEXO3 99 UBÁ6"}</definedName>
    <definedName name="____________a999" hidden="1">{#N/A,#N/A,FALSE,"ANEXO3 99 ERA";#N/A,#N/A,FALSE,"ANEXO3 99 UBÁ2";#N/A,#N/A,FALSE,"ANEXO3 99 DTU";#N/A,#N/A,FALSE,"ANEXO3 99 RDR";#N/A,#N/A,FALSE,"ANEXO3 99 UBÁ4";#N/A,#N/A,FALSE,"ANEXO3 99 UBÁ6"}</definedName>
    <definedName name="___________a999" localSheetId="3" hidden="1">{#N/A,#N/A,FALSE,"ANEXO3 99 ERA";#N/A,#N/A,FALSE,"ANEXO3 99 UBÁ2";#N/A,#N/A,FALSE,"ANEXO3 99 DTU";#N/A,#N/A,FALSE,"ANEXO3 99 RDR";#N/A,#N/A,FALSE,"ANEXO3 99 UBÁ4";#N/A,#N/A,FALSE,"ANEXO3 99 UBÁ6"}</definedName>
    <definedName name="___________a999" localSheetId="6" hidden="1">{#N/A,#N/A,FALSE,"ANEXO3 99 ERA";#N/A,#N/A,FALSE,"ANEXO3 99 UBÁ2";#N/A,#N/A,FALSE,"ANEXO3 99 DTU";#N/A,#N/A,FALSE,"ANEXO3 99 RDR";#N/A,#N/A,FALSE,"ANEXO3 99 UBÁ4";#N/A,#N/A,FALSE,"ANEXO3 99 UBÁ6"}</definedName>
    <definedName name="___________a999" localSheetId="7" hidden="1">{#N/A,#N/A,FALSE,"ANEXO3 99 ERA";#N/A,#N/A,FALSE,"ANEXO3 99 UBÁ2";#N/A,#N/A,FALSE,"ANEXO3 99 DTU";#N/A,#N/A,FALSE,"ANEXO3 99 RDR";#N/A,#N/A,FALSE,"ANEXO3 99 UBÁ4";#N/A,#N/A,FALSE,"ANEXO3 99 UBÁ6"}</definedName>
    <definedName name="___________a999" localSheetId="10" hidden="1">{#N/A,#N/A,FALSE,"ANEXO3 99 ERA";#N/A,#N/A,FALSE,"ANEXO3 99 UBÁ2";#N/A,#N/A,FALSE,"ANEXO3 99 DTU";#N/A,#N/A,FALSE,"ANEXO3 99 RDR";#N/A,#N/A,FALSE,"ANEXO3 99 UBÁ4";#N/A,#N/A,FALSE,"ANEXO3 99 UBÁ6"}</definedName>
    <definedName name="___________a999" localSheetId="11" hidden="1">{#N/A,#N/A,FALSE,"ANEXO3 99 ERA";#N/A,#N/A,FALSE,"ANEXO3 99 UBÁ2";#N/A,#N/A,FALSE,"ANEXO3 99 DTU";#N/A,#N/A,FALSE,"ANEXO3 99 RDR";#N/A,#N/A,FALSE,"ANEXO3 99 UBÁ4";#N/A,#N/A,FALSE,"ANEXO3 99 UBÁ6"}</definedName>
    <definedName name="___________a999" localSheetId="5" hidden="1">{#N/A,#N/A,FALSE,"ANEXO3 99 ERA";#N/A,#N/A,FALSE,"ANEXO3 99 UBÁ2";#N/A,#N/A,FALSE,"ANEXO3 99 DTU";#N/A,#N/A,FALSE,"ANEXO3 99 RDR";#N/A,#N/A,FALSE,"ANEXO3 99 UBÁ4";#N/A,#N/A,FALSE,"ANEXO3 99 UBÁ6"}</definedName>
    <definedName name="___________a999" localSheetId="4" hidden="1">{#N/A,#N/A,FALSE,"ANEXO3 99 ERA";#N/A,#N/A,FALSE,"ANEXO3 99 UBÁ2";#N/A,#N/A,FALSE,"ANEXO3 99 DTU";#N/A,#N/A,FALSE,"ANEXO3 99 RDR";#N/A,#N/A,FALSE,"ANEXO3 99 UBÁ4";#N/A,#N/A,FALSE,"ANEXO3 99 UBÁ6"}</definedName>
    <definedName name="___________a999" hidden="1">{#N/A,#N/A,FALSE,"ANEXO3 99 ERA";#N/A,#N/A,FALSE,"ANEXO3 99 UBÁ2";#N/A,#N/A,FALSE,"ANEXO3 99 DTU";#N/A,#N/A,FALSE,"ANEXO3 99 RDR";#N/A,#N/A,FALSE,"ANEXO3 99 UBÁ4";#N/A,#N/A,FALSE,"ANEXO3 99 UBÁ6"}</definedName>
    <definedName name="__________a999" localSheetId="3" hidden="1">{#N/A,#N/A,FALSE,"ANEXO3 99 ERA";#N/A,#N/A,FALSE,"ANEXO3 99 UBÁ2";#N/A,#N/A,FALSE,"ANEXO3 99 DTU";#N/A,#N/A,FALSE,"ANEXO3 99 RDR";#N/A,#N/A,FALSE,"ANEXO3 99 UBÁ4";#N/A,#N/A,FALSE,"ANEXO3 99 UBÁ6"}</definedName>
    <definedName name="__________a999" localSheetId="6" hidden="1">{#N/A,#N/A,FALSE,"ANEXO3 99 ERA";#N/A,#N/A,FALSE,"ANEXO3 99 UBÁ2";#N/A,#N/A,FALSE,"ANEXO3 99 DTU";#N/A,#N/A,FALSE,"ANEXO3 99 RDR";#N/A,#N/A,FALSE,"ANEXO3 99 UBÁ4";#N/A,#N/A,FALSE,"ANEXO3 99 UBÁ6"}</definedName>
    <definedName name="__________a999" localSheetId="7" hidden="1">{#N/A,#N/A,FALSE,"ANEXO3 99 ERA";#N/A,#N/A,FALSE,"ANEXO3 99 UBÁ2";#N/A,#N/A,FALSE,"ANEXO3 99 DTU";#N/A,#N/A,FALSE,"ANEXO3 99 RDR";#N/A,#N/A,FALSE,"ANEXO3 99 UBÁ4";#N/A,#N/A,FALSE,"ANEXO3 99 UBÁ6"}</definedName>
    <definedName name="__________a999" localSheetId="10" hidden="1">{#N/A,#N/A,FALSE,"ANEXO3 99 ERA";#N/A,#N/A,FALSE,"ANEXO3 99 UBÁ2";#N/A,#N/A,FALSE,"ANEXO3 99 DTU";#N/A,#N/A,FALSE,"ANEXO3 99 RDR";#N/A,#N/A,FALSE,"ANEXO3 99 UBÁ4";#N/A,#N/A,FALSE,"ANEXO3 99 UBÁ6"}</definedName>
    <definedName name="__________a999" localSheetId="11" hidden="1">{#N/A,#N/A,FALSE,"ANEXO3 99 ERA";#N/A,#N/A,FALSE,"ANEXO3 99 UBÁ2";#N/A,#N/A,FALSE,"ANEXO3 99 DTU";#N/A,#N/A,FALSE,"ANEXO3 99 RDR";#N/A,#N/A,FALSE,"ANEXO3 99 UBÁ4";#N/A,#N/A,FALSE,"ANEXO3 99 UBÁ6"}</definedName>
    <definedName name="__________a999" localSheetId="5" hidden="1">{#N/A,#N/A,FALSE,"ANEXO3 99 ERA";#N/A,#N/A,FALSE,"ANEXO3 99 UBÁ2";#N/A,#N/A,FALSE,"ANEXO3 99 DTU";#N/A,#N/A,FALSE,"ANEXO3 99 RDR";#N/A,#N/A,FALSE,"ANEXO3 99 UBÁ4";#N/A,#N/A,FALSE,"ANEXO3 99 UBÁ6"}</definedName>
    <definedName name="__________a999" localSheetId="4" hidden="1">{#N/A,#N/A,FALSE,"ANEXO3 99 ERA";#N/A,#N/A,FALSE,"ANEXO3 99 UBÁ2";#N/A,#N/A,FALSE,"ANEXO3 99 DTU";#N/A,#N/A,FALSE,"ANEXO3 99 RDR";#N/A,#N/A,FALSE,"ANEXO3 99 UBÁ4";#N/A,#N/A,FALSE,"ANEXO3 99 UBÁ6"}</definedName>
    <definedName name="__________a999" hidden="1">{#N/A,#N/A,FALSE,"ANEXO3 99 ERA";#N/A,#N/A,FALSE,"ANEXO3 99 UBÁ2";#N/A,#N/A,FALSE,"ANEXO3 99 DTU";#N/A,#N/A,FALSE,"ANEXO3 99 RDR";#N/A,#N/A,FALSE,"ANEXO3 99 UBÁ4";#N/A,#N/A,FALSE,"ANEXO3 99 UBÁ6"}</definedName>
    <definedName name="________a999" localSheetId="3" hidden="1">{#N/A,#N/A,FALSE,"ANEXO3 99 ERA";#N/A,#N/A,FALSE,"ANEXO3 99 UBÁ2";#N/A,#N/A,FALSE,"ANEXO3 99 DTU";#N/A,#N/A,FALSE,"ANEXO3 99 RDR";#N/A,#N/A,FALSE,"ANEXO3 99 UBÁ4";#N/A,#N/A,FALSE,"ANEXO3 99 UBÁ6"}</definedName>
    <definedName name="________a999" localSheetId="6" hidden="1">{#N/A,#N/A,FALSE,"ANEXO3 99 ERA";#N/A,#N/A,FALSE,"ANEXO3 99 UBÁ2";#N/A,#N/A,FALSE,"ANEXO3 99 DTU";#N/A,#N/A,FALSE,"ANEXO3 99 RDR";#N/A,#N/A,FALSE,"ANEXO3 99 UBÁ4";#N/A,#N/A,FALSE,"ANEXO3 99 UBÁ6"}</definedName>
    <definedName name="________a999" localSheetId="7" hidden="1">{#N/A,#N/A,FALSE,"ANEXO3 99 ERA";#N/A,#N/A,FALSE,"ANEXO3 99 UBÁ2";#N/A,#N/A,FALSE,"ANEXO3 99 DTU";#N/A,#N/A,FALSE,"ANEXO3 99 RDR";#N/A,#N/A,FALSE,"ANEXO3 99 UBÁ4";#N/A,#N/A,FALSE,"ANEXO3 99 UBÁ6"}</definedName>
    <definedName name="________a999" localSheetId="10" hidden="1">{#N/A,#N/A,FALSE,"ANEXO3 99 ERA";#N/A,#N/A,FALSE,"ANEXO3 99 UBÁ2";#N/A,#N/A,FALSE,"ANEXO3 99 DTU";#N/A,#N/A,FALSE,"ANEXO3 99 RDR";#N/A,#N/A,FALSE,"ANEXO3 99 UBÁ4";#N/A,#N/A,FALSE,"ANEXO3 99 UBÁ6"}</definedName>
    <definedName name="________a999" localSheetId="11" hidden="1">{#N/A,#N/A,FALSE,"ANEXO3 99 ERA";#N/A,#N/A,FALSE,"ANEXO3 99 UBÁ2";#N/A,#N/A,FALSE,"ANEXO3 99 DTU";#N/A,#N/A,FALSE,"ANEXO3 99 RDR";#N/A,#N/A,FALSE,"ANEXO3 99 UBÁ4";#N/A,#N/A,FALSE,"ANEXO3 99 UBÁ6"}</definedName>
    <definedName name="________a999" localSheetId="5" hidden="1">{#N/A,#N/A,FALSE,"ANEXO3 99 ERA";#N/A,#N/A,FALSE,"ANEXO3 99 UBÁ2";#N/A,#N/A,FALSE,"ANEXO3 99 DTU";#N/A,#N/A,FALSE,"ANEXO3 99 RDR";#N/A,#N/A,FALSE,"ANEXO3 99 UBÁ4";#N/A,#N/A,FALSE,"ANEXO3 99 UBÁ6"}</definedName>
    <definedName name="________a999" localSheetId="4" hidden="1">{#N/A,#N/A,FALSE,"ANEXO3 99 ERA";#N/A,#N/A,FALSE,"ANEXO3 99 UBÁ2";#N/A,#N/A,FALSE,"ANEXO3 99 DTU";#N/A,#N/A,FALSE,"ANEXO3 99 RDR";#N/A,#N/A,FALSE,"ANEXO3 99 UBÁ4";#N/A,#N/A,FALSE,"ANEXO3 99 UBÁ6"}</definedName>
    <definedName name="________a999" hidden="1">{#N/A,#N/A,FALSE,"ANEXO3 99 ERA";#N/A,#N/A,FALSE,"ANEXO3 99 UBÁ2";#N/A,#N/A,FALSE,"ANEXO3 99 DTU";#N/A,#N/A,FALSE,"ANEXO3 99 RDR";#N/A,#N/A,FALSE,"ANEXO3 99 UBÁ4";#N/A,#N/A,FALSE,"ANEXO3 99 UBÁ6"}</definedName>
    <definedName name="_______a999" localSheetId="3" hidden="1">{#N/A,#N/A,FALSE,"ANEXO3 99 ERA";#N/A,#N/A,FALSE,"ANEXO3 99 UBÁ2";#N/A,#N/A,FALSE,"ANEXO3 99 DTU";#N/A,#N/A,FALSE,"ANEXO3 99 RDR";#N/A,#N/A,FALSE,"ANEXO3 99 UBÁ4";#N/A,#N/A,FALSE,"ANEXO3 99 UBÁ6"}</definedName>
    <definedName name="_______a999" localSheetId="6" hidden="1">{#N/A,#N/A,FALSE,"ANEXO3 99 ERA";#N/A,#N/A,FALSE,"ANEXO3 99 UBÁ2";#N/A,#N/A,FALSE,"ANEXO3 99 DTU";#N/A,#N/A,FALSE,"ANEXO3 99 RDR";#N/A,#N/A,FALSE,"ANEXO3 99 UBÁ4";#N/A,#N/A,FALSE,"ANEXO3 99 UBÁ6"}</definedName>
    <definedName name="_______a999" localSheetId="7" hidden="1">{#N/A,#N/A,FALSE,"ANEXO3 99 ERA";#N/A,#N/A,FALSE,"ANEXO3 99 UBÁ2";#N/A,#N/A,FALSE,"ANEXO3 99 DTU";#N/A,#N/A,FALSE,"ANEXO3 99 RDR";#N/A,#N/A,FALSE,"ANEXO3 99 UBÁ4";#N/A,#N/A,FALSE,"ANEXO3 99 UBÁ6"}</definedName>
    <definedName name="_______a999" localSheetId="10" hidden="1">{#N/A,#N/A,FALSE,"ANEXO3 99 ERA";#N/A,#N/A,FALSE,"ANEXO3 99 UBÁ2";#N/A,#N/A,FALSE,"ANEXO3 99 DTU";#N/A,#N/A,FALSE,"ANEXO3 99 RDR";#N/A,#N/A,FALSE,"ANEXO3 99 UBÁ4";#N/A,#N/A,FALSE,"ANEXO3 99 UBÁ6"}</definedName>
    <definedName name="_______a999" localSheetId="11" hidden="1">{#N/A,#N/A,FALSE,"ANEXO3 99 ERA";#N/A,#N/A,FALSE,"ANEXO3 99 UBÁ2";#N/A,#N/A,FALSE,"ANEXO3 99 DTU";#N/A,#N/A,FALSE,"ANEXO3 99 RDR";#N/A,#N/A,FALSE,"ANEXO3 99 UBÁ4";#N/A,#N/A,FALSE,"ANEXO3 99 UBÁ6"}</definedName>
    <definedName name="_______a999" localSheetId="5" hidden="1">{#N/A,#N/A,FALSE,"ANEXO3 99 ERA";#N/A,#N/A,FALSE,"ANEXO3 99 UBÁ2";#N/A,#N/A,FALSE,"ANEXO3 99 DTU";#N/A,#N/A,FALSE,"ANEXO3 99 RDR";#N/A,#N/A,FALSE,"ANEXO3 99 UBÁ4";#N/A,#N/A,FALSE,"ANEXO3 99 UBÁ6"}</definedName>
    <definedName name="_______a999" localSheetId="4" hidden="1">{#N/A,#N/A,FALSE,"ANEXO3 99 ERA";#N/A,#N/A,FALSE,"ANEXO3 99 UBÁ2";#N/A,#N/A,FALSE,"ANEXO3 99 DTU";#N/A,#N/A,FALSE,"ANEXO3 99 RDR";#N/A,#N/A,FALSE,"ANEXO3 99 UBÁ4";#N/A,#N/A,FALSE,"ANEXO3 99 UBÁ6"}</definedName>
    <definedName name="_______a999" hidden="1">{#N/A,#N/A,FALSE,"ANEXO3 99 ERA";#N/A,#N/A,FALSE,"ANEXO3 99 UBÁ2";#N/A,#N/A,FALSE,"ANEXO3 99 DTU";#N/A,#N/A,FALSE,"ANEXO3 99 RDR";#N/A,#N/A,FALSE,"ANEXO3 99 UBÁ4";#N/A,#N/A,FALSE,"ANEXO3 99 UBÁ6"}</definedName>
    <definedName name="______a999" localSheetId="3" hidden="1">{#N/A,#N/A,FALSE,"ANEXO3 99 ERA";#N/A,#N/A,FALSE,"ANEXO3 99 UBÁ2";#N/A,#N/A,FALSE,"ANEXO3 99 DTU";#N/A,#N/A,FALSE,"ANEXO3 99 RDR";#N/A,#N/A,FALSE,"ANEXO3 99 UBÁ4";#N/A,#N/A,FALSE,"ANEXO3 99 UBÁ6"}</definedName>
    <definedName name="______a999" localSheetId="6" hidden="1">{#N/A,#N/A,FALSE,"ANEXO3 99 ERA";#N/A,#N/A,FALSE,"ANEXO3 99 UBÁ2";#N/A,#N/A,FALSE,"ANEXO3 99 DTU";#N/A,#N/A,FALSE,"ANEXO3 99 RDR";#N/A,#N/A,FALSE,"ANEXO3 99 UBÁ4";#N/A,#N/A,FALSE,"ANEXO3 99 UBÁ6"}</definedName>
    <definedName name="______a999" localSheetId="7" hidden="1">{#N/A,#N/A,FALSE,"ANEXO3 99 ERA";#N/A,#N/A,FALSE,"ANEXO3 99 UBÁ2";#N/A,#N/A,FALSE,"ANEXO3 99 DTU";#N/A,#N/A,FALSE,"ANEXO3 99 RDR";#N/A,#N/A,FALSE,"ANEXO3 99 UBÁ4";#N/A,#N/A,FALSE,"ANEXO3 99 UBÁ6"}</definedName>
    <definedName name="______a999" localSheetId="10" hidden="1">{#N/A,#N/A,FALSE,"ANEXO3 99 ERA";#N/A,#N/A,FALSE,"ANEXO3 99 UBÁ2";#N/A,#N/A,FALSE,"ANEXO3 99 DTU";#N/A,#N/A,FALSE,"ANEXO3 99 RDR";#N/A,#N/A,FALSE,"ANEXO3 99 UBÁ4";#N/A,#N/A,FALSE,"ANEXO3 99 UBÁ6"}</definedName>
    <definedName name="______a999" localSheetId="11" hidden="1">{#N/A,#N/A,FALSE,"ANEXO3 99 ERA";#N/A,#N/A,FALSE,"ANEXO3 99 UBÁ2";#N/A,#N/A,FALSE,"ANEXO3 99 DTU";#N/A,#N/A,FALSE,"ANEXO3 99 RDR";#N/A,#N/A,FALSE,"ANEXO3 99 UBÁ4";#N/A,#N/A,FALSE,"ANEXO3 99 UBÁ6"}</definedName>
    <definedName name="______a999" localSheetId="5" hidden="1">{#N/A,#N/A,FALSE,"ANEXO3 99 ERA";#N/A,#N/A,FALSE,"ANEXO3 99 UBÁ2";#N/A,#N/A,FALSE,"ANEXO3 99 DTU";#N/A,#N/A,FALSE,"ANEXO3 99 RDR";#N/A,#N/A,FALSE,"ANEXO3 99 UBÁ4";#N/A,#N/A,FALSE,"ANEXO3 99 UBÁ6"}</definedName>
    <definedName name="______a999" localSheetId="4" hidden="1">{#N/A,#N/A,FALSE,"ANEXO3 99 ERA";#N/A,#N/A,FALSE,"ANEXO3 99 UBÁ2";#N/A,#N/A,FALSE,"ANEXO3 99 DTU";#N/A,#N/A,FALSE,"ANEXO3 99 RDR";#N/A,#N/A,FALSE,"ANEXO3 99 UBÁ4";#N/A,#N/A,FALSE,"ANEXO3 99 UBÁ6"}</definedName>
    <definedName name="______a999" hidden="1">{#N/A,#N/A,FALSE,"ANEXO3 99 ERA";#N/A,#N/A,FALSE,"ANEXO3 99 UBÁ2";#N/A,#N/A,FALSE,"ANEXO3 99 DTU";#N/A,#N/A,FALSE,"ANEXO3 99 RDR";#N/A,#N/A,FALSE,"ANEXO3 99 UBÁ4";#N/A,#N/A,FALSE,"ANEXO3 99 UBÁ6"}</definedName>
    <definedName name="______ago1" localSheetId="3" hidden="1">{"'gráf jan00'!$A$1:$AK$41"}</definedName>
    <definedName name="______ago1" localSheetId="6" hidden="1">{"'gráf jan00'!$A$1:$AK$41"}</definedName>
    <definedName name="______ago1" localSheetId="7" hidden="1">{"'gráf jan00'!$A$1:$AK$41"}</definedName>
    <definedName name="______ago1" localSheetId="10" hidden="1">{"'gráf jan00'!$A$1:$AK$41"}</definedName>
    <definedName name="______ago1" localSheetId="11" hidden="1">{"'gráf jan00'!$A$1:$AK$41"}</definedName>
    <definedName name="______ago1" localSheetId="5" hidden="1">{"'gráf jan00'!$A$1:$AK$41"}</definedName>
    <definedName name="______ago1" localSheetId="4" hidden="1">{"'gráf jan00'!$A$1:$AK$41"}</definedName>
    <definedName name="______ago1" hidden="1">{"'gráf jan00'!$A$1:$AK$41"}</definedName>
    <definedName name="______ago10" localSheetId="3" hidden="1">{"'gráf jan00'!$A$1:$AK$41"}</definedName>
    <definedName name="______ago10" localSheetId="6" hidden="1">{"'gráf jan00'!$A$1:$AK$41"}</definedName>
    <definedName name="______ago10" localSheetId="7" hidden="1">{"'gráf jan00'!$A$1:$AK$41"}</definedName>
    <definedName name="______ago10" localSheetId="10" hidden="1">{"'gráf jan00'!$A$1:$AK$41"}</definedName>
    <definedName name="______ago10" localSheetId="11" hidden="1">{"'gráf jan00'!$A$1:$AK$41"}</definedName>
    <definedName name="______ago10" localSheetId="5" hidden="1">{"'gráf jan00'!$A$1:$AK$41"}</definedName>
    <definedName name="______ago10" localSheetId="4" hidden="1">{"'gráf jan00'!$A$1:$AK$41"}</definedName>
    <definedName name="______ago10" hidden="1">{"'gráf jan00'!$A$1:$AK$41"}</definedName>
    <definedName name="______ago2" localSheetId="3" hidden="1">{"'gráf jan00'!$A$1:$AK$41"}</definedName>
    <definedName name="______ago2" localSheetId="6" hidden="1">{"'gráf jan00'!$A$1:$AK$41"}</definedName>
    <definedName name="______ago2" localSheetId="7" hidden="1">{"'gráf jan00'!$A$1:$AK$41"}</definedName>
    <definedName name="______ago2" localSheetId="10" hidden="1">{"'gráf jan00'!$A$1:$AK$41"}</definedName>
    <definedName name="______ago2" localSheetId="11" hidden="1">{"'gráf jan00'!$A$1:$AK$41"}</definedName>
    <definedName name="______ago2" localSheetId="5" hidden="1">{"'gráf jan00'!$A$1:$AK$41"}</definedName>
    <definedName name="______ago2" localSheetId="4" hidden="1">{"'gráf jan00'!$A$1:$AK$41"}</definedName>
    <definedName name="______ago2" hidden="1">{"'gráf jan00'!$A$1:$AK$41"}</definedName>
    <definedName name="______ago3" localSheetId="3" hidden="1">{"'gráf jan00'!$A$1:$AK$41"}</definedName>
    <definedName name="______ago3" localSheetId="6" hidden="1">{"'gráf jan00'!$A$1:$AK$41"}</definedName>
    <definedName name="______ago3" localSheetId="7" hidden="1">{"'gráf jan00'!$A$1:$AK$41"}</definedName>
    <definedName name="______ago3" localSheetId="10" hidden="1">{"'gráf jan00'!$A$1:$AK$41"}</definedName>
    <definedName name="______ago3" localSheetId="11" hidden="1">{"'gráf jan00'!$A$1:$AK$41"}</definedName>
    <definedName name="______ago3" localSheetId="5" hidden="1">{"'gráf jan00'!$A$1:$AK$41"}</definedName>
    <definedName name="______ago3" localSheetId="4" hidden="1">{"'gráf jan00'!$A$1:$AK$41"}</definedName>
    <definedName name="______ago3" hidden="1">{"'gráf jan00'!$A$1:$AK$41"}</definedName>
    <definedName name="______ago4" localSheetId="3" hidden="1">{"'gráf jan00'!$A$1:$AK$41"}</definedName>
    <definedName name="______ago4" localSheetId="6" hidden="1">{"'gráf jan00'!$A$1:$AK$41"}</definedName>
    <definedName name="______ago4" localSheetId="7" hidden="1">{"'gráf jan00'!$A$1:$AK$41"}</definedName>
    <definedName name="______ago4" localSheetId="10" hidden="1">{"'gráf jan00'!$A$1:$AK$41"}</definedName>
    <definedName name="______ago4" localSheetId="11" hidden="1">{"'gráf jan00'!$A$1:$AK$41"}</definedName>
    <definedName name="______ago4" localSheetId="5" hidden="1">{"'gráf jan00'!$A$1:$AK$41"}</definedName>
    <definedName name="______ago4" localSheetId="4" hidden="1">{"'gráf jan00'!$A$1:$AK$41"}</definedName>
    <definedName name="______ago4" hidden="1">{"'gráf jan00'!$A$1:$AK$41"}</definedName>
    <definedName name="______ago5" localSheetId="3" hidden="1">{"'gráf jan00'!$A$1:$AK$41"}</definedName>
    <definedName name="______ago5" localSheetId="6" hidden="1">{"'gráf jan00'!$A$1:$AK$41"}</definedName>
    <definedName name="______ago5" localSheetId="7" hidden="1">{"'gráf jan00'!$A$1:$AK$41"}</definedName>
    <definedName name="______ago5" localSheetId="10" hidden="1">{"'gráf jan00'!$A$1:$AK$41"}</definedName>
    <definedName name="______ago5" localSheetId="11" hidden="1">{"'gráf jan00'!$A$1:$AK$41"}</definedName>
    <definedName name="______ago5" localSheetId="5" hidden="1">{"'gráf jan00'!$A$1:$AK$41"}</definedName>
    <definedName name="______ago5" localSheetId="4" hidden="1">{"'gráf jan00'!$A$1:$AK$41"}</definedName>
    <definedName name="______ago5" hidden="1">{"'gráf jan00'!$A$1:$AK$41"}</definedName>
    <definedName name="______ago6" localSheetId="3" hidden="1">{"'gráf jan00'!$A$1:$AK$41"}</definedName>
    <definedName name="______ago6" localSheetId="6" hidden="1">{"'gráf jan00'!$A$1:$AK$41"}</definedName>
    <definedName name="______ago6" localSheetId="7" hidden="1">{"'gráf jan00'!$A$1:$AK$41"}</definedName>
    <definedName name="______ago6" localSheetId="10" hidden="1">{"'gráf jan00'!$A$1:$AK$41"}</definedName>
    <definedName name="______ago6" localSheetId="11" hidden="1">{"'gráf jan00'!$A$1:$AK$41"}</definedName>
    <definedName name="______ago6" localSheetId="5" hidden="1">{"'gráf jan00'!$A$1:$AK$41"}</definedName>
    <definedName name="______ago6" localSheetId="4" hidden="1">{"'gráf jan00'!$A$1:$AK$41"}</definedName>
    <definedName name="______ago6" hidden="1">{"'gráf jan00'!$A$1:$AK$41"}</definedName>
    <definedName name="______ago7" localSheetId="3" hidden="1">{"'gráf jan00'!$A$1:$AK$41"}</definedName>
    <definedName name="______ago7" localSheetId="6" hidden="1">{"'gráf jan00'!$A$1:$AK$41"}</definedName>
    <definedName name="______ago7" localSheetId="7" hidden="1">{"'gráf jan00'!$A$1:$AK$41"}</definedName>
    <definedName name="______ago7" localSheetId="10" hidden="1">{"'gráf jan00'!$A$1:$AK$41"}</definedName>
    <definedName name="______ago7" localSheetId="11" hidden="1">{"'gráf jan00'!$A$1:$AK$41"}</definedName>
    <definedName name="______ago7" localSheetId="5" hidden="1">{"'gráf jan00'!$A$1:$AK$41"}</definedName>
    <definedName name="______ago7" localSheetId="4" hidden="1">{"'gráf jan00'!$A$1:$AK$41"}</definedName>
    <definedName name="______ago7" hidden="1">{"'gráf jan00'!$A$1:$AK$41"}</definedName>
    <definedName name="______ago8" localSheetId="3" hidden="1">{"'gráf jan00'!$A$1:$AK$41"}</definedName>
    <definedName name="______ago8" localSheetId="6" hidden="1">{"'gráf jan00'!$A$1:$AK$41"}</definedName>
    <definedName name="______ago8" localSheetId="7" hidden="1">{"'gráf jan00'!$A$1:$AK$41"}</definedName>
    <definedName name="______ago8" localSheetId="10" hidden="1">{"'gráf jan00'!$A$1:$AK$41"}</definedName>
    <definedName name="______ago8" localSheetId="11" hidden="1">{"'gráf jan00'!$A$1:$AK$41"}</definedName>
    <definedName name="______ago8" localSheetId="5" hidden="1">{"'gráf jan00'!$A$1:$AK$41"}</definedName>
    <definedName name="______ago8" localSheetId="4" hidden="1">{"'gráf jan00'!$A$1:$AK$41"}</definedName>
    <definedName name="______ago8" hidden="1">{"'gráf jan00'!$A$1:$AK$41"}</definedName>
    <definedName name="______ago9" localSheetId="3" hidden="1">{"'gráf jan00'!$A$1:$AK$41"}</definedName>
    <definedName name="______ago9" localSheetId="6" hidden="1">{"'gráf jan00'!$A$1:$AK$41"}</definedName>
    <definedName name="______ago9" localSheetId="7" hidden="1">{"'gráf jan00'!$A$1:$AK$41"}</definedName>
    <definedName name="______ago9" localSheetId="10" hidden="1">{"'gráf jan00'!$A$1:$AK$41"}</definedName>
    <definedName name="______ago9" localSheetId="11" hidden="1">{"'gráf jan00'!$A$1:$AK$41"}</definedName>
    <definedName name="______ago9" localSheetId="5" hidden="1">{"'gráf jan00'!$A$1:$AK$41"}</definedName>
    <definedName name="______ago9" localSheetId="4" hidden="1">{"'gráf jan00'!$A$1:$AK$41"}</definedName>
    <definedName name="______ago9" hidden="1">{"'gráf jan00'!$A$1:$AK$41"}</definedName>
    <definedName name="______efc10" localSheetId="3" hidden="1">{"'RR'!$A$2:$E$81"}</definedName>
    <definedName name="______efc10" localSheetId="6" hidden="1">{"'RR'!$A$2:$E$81"}</definedName>
    <definedName name="______efc10" localSheetId="7" hidden="1">{"'RR'!$A$2:$E$81"}</definedName>
    <definedName name="______efc10" localSheetId="10" hidden="1">{"'RR'!$A$2:$E$81"}</definedName>
    <definedName name="______efc10" localSheetId="11" hidden="1">{"'RR'!$A$2:$E$81"}</definedName>
    <definedName name="______efc10" localSheetId="5" hidden="1">{"'RR'!$A$2:$E$81"}</definedName>
    <definedName name="______efc10" localSheetId="4" hidden="1">{"'RR'!$A$2:$E$81"}</definedName>
    <definedName name="______efc10" hidden="1">{"'RR'!$A$2:$E$81"}</definedName>
    <definedName name="______EFC2" localSheetId="3" hidden="1">{"'RR'!$A$2:$E$81"}</definedName>
    <definedName name="______EFC2" localSheetId="6" hidden="1">{"'RR'!$A$2:$E$81"}</definedName>
    <definedName name="______EFC2" localSheetId="7" hidden="1">{"'RR'!$A$2:$E$81"}</definedName>
    <definedName name="______EFC2" localSheetId="10" hidden="1">{"'RR'!$A$2:$E$81"}</definedName>
    <definedName name="______EFC2" localSheetId="11" hidden="1">{"'RR'!$A$2:$E$81"}</definedName>
    <definedName name="______EFC2" localSheetId="5" hidden="1">{"'RR'!$A$2:$E$81"}</definedName>
    <definedName name="______EFC2" localSheetId="4" hidden="1">{"'RR'!$A$2:$E$81"}</definedName>
    <definedName name="______EFC2" hidden="1">{"'RR'!$A$2:$E$81"}</definedName>
    <definedName name="______EFC3" localSheetId="3" hidden="1">{"'RR'!$A$2:$E$81"}</definedName>
    <definedName name="______EFC3" localSheetId="6" hidden="1">{"'RR'!$A$2:$E$81"}</definedName>
    <definedName name="______EFC3" localSheetId="7" hidden="1">{"'RR'!$A$2:$E$81"}</definedName>
    <definedName name="______EFC3" localSheetId="10" hidden="1">{"'RR'!$A$2:$E$81"}</definedName>
    <definedName name="______EFC3" localSheetId="11" hidden="1">{"'RR'!$A$2:$E$81"}</definedName>
    <definedName name="______EFC3" localSheetId="5" hidden="1">{"'RR'!$A$2:$E$81"}</definedName>
    <definedName name="______EFC3" localSheetId="4" hidden="1">{"'RR'!$A$2:$E$81"}</definedName>
    <definedName name="______EFC3" hidden="1">{"'RR'!$A$2:$E$81"}</definedName>
    <definedName name="______EFC4" localSheetId="3" hidden="1">{"'RR'!$A$2:$E$81"}</definedName>
    <definedName name="______EFC4" localSheetId="6" hidden="1">{"'RR'!$A$2:$E$81"}</definedName>
    <definedName name="______EFC4" localSheetId="7" hidden="1">{"'RR'!$A$2:$E$81"}</definedName>
    <definedName name="______EFC4" localSheetId="10" hidden="1">{"'RR'!$A$2:$E$81"}</definedName>
    <definedName name="______EFC4" localSheetId="11" hidden="1">{"'RR'!$A$2:$E$81"}</definedName>
    <definedName name="______EFC4" localSheetId="5" hidden="1">{"'RR'!$A$2:$E$81"}</definedName>
    <definedName name="______EFC4" localSheetId="4" hidden="1">{"'RR'!$A$2:$E$81"}</definedName>
    <definedName name="______EFC4" hidden="1">{"'RR'!$A$2:$E$81"}</definedName>
    <definedName name="______n2" localSheetId="3" hidden="1">{#N/A,#N/A,FALSE,"PCOL"}</definedName>
    <definedName name="______n2" localSheetId="6" hidden="1">{#N/A,#N/A,FALSE,"PCOL"}</definedName>
    <definedName name="______n2" localSheetId="7" hidden="1">{#N/A,#N/A,FALSE,"PCOL"}</definedName>
    <definedName name="______n2" localSheetId="10" hidden="1">{#N/A,#N/A,FALSE,"PCOL"}</definedName>
    <definedName name="______n2" localSheetId="11" hidden="1">{#N/A,#N/A,FALSE,"PCOL"}</definedName>
    <definedName name="______n2" localSheetId="5" hidden="1">{#N/A,#N/A,FALSE,"PCOL"}</definedName>
    <definedName name="______n2" localSheetId="4" hidden="1">{#N/A,#N/A,FALSE,"PCOL"}</definedName>
    <definedName name="______n2" hidden="1">{#N/A,#N/A,FALSE,"PCOL"}</definedName>
    <definedName name="______r" localSheetId="3" hidden="1">{#N/A,#N/A,FALSE,"PCOL"}</definedName>
    <definedName name="______r" localSheetId="6" hidden="1">{#N/A,#N/A,FALSE,"PCOL"}</definedName>
    <definedName name="______r" localSheetId="7" hidden="1">{#N/A,#N/A,FALSE,"PCOL"}</definedName>
    <definedName name="______r" localSheetId="10" hidden="1">{#N/A,#N/A,FALSE,"PCOL"}</definedName>
    <definedName name="______r" localSheetId="11" hidden="1">{#N/A,#N/A,FALSE,"PCOL"}</definedName>
    <definedName name="______r" localSheetId="5" hidden="1">{#N/A,#N/A,FALSE,"PCOL"}</definedName>
    <definedName name="______r" localSheetId="4" hidden="1">{#N/A,#N/A,FALSE,"PCOL"}</definedName>
    <definedName name="______r" hidden="1">{#N/A,#N/A,FALSE,"PCOL"}</definedName>
    <definedName name="_____a999" localSheetId="3" hidden="1">{#N/A,#N/A,FALSE,"ANEXO3 99 ERA";#N/A,#N/A,FALSE,"ANEXO3 99 UBÁ2";#N/A,#N/A,FALSE,"ANEXO3 99 DTU";#N/A,#N/A,FALSE,"ANEXO3 99 RDR";#N/A,#N/A,FALSE,"ANEXO3 99 UBÁ4";#N/A,#N/A,FALSE,"ANEXO3 99 UBÁ6"}</definedName>
    <definedName name="_____a999" localSheetId="6" hidden="1">{#N/A,#N/A,FALSE,"ANEXO3 99 ERA";#N/A,#N/A,FALSE,"ANEXO3 99 UBÁ2";#N/A,#N/A,FALSE,"ANEXO3 99 DTU";#N/A,#N/A,FALSE,"ANEXO3 99 RDR";#N/A,#N/A,FALSE,"ANEXO3 99 UBÁ4";#N/A,#N/A,FALSE,"ANEXO3 99 UBÁ6"}</definedName>
    <definedName name="_____a999" localSheetId="7" hidden="1">{#N/A,#N/A,FALSE,"ANEXO3 99 ERA";#N/A,#N/A,FALSE,"ANEXO3 99 UBÁ2";#N/A,#N/A,FALSE,"ANEXO3 99 DTU";#N/A,#N/A,FALSE,"ANEXO3 99 RDR";#N/A,#N/A,FALSE,"ANEXO3 99 UBÁ4";#N/A,#N/A,FALSE,"ANEXO3 99 UBÁ6"}</definedName>
    <definedName name="_____a999" localSheetId="10" hidden="1">{#N/A,#N/A,FALSE,"ANEXO3 99 ERA";#N/A,#N/A,FALSE,"ANEXO3 99 UBÁ2";#N/A,#N/A,FALSE,"ANEXO3 99 DTU";#N/A,#N/A,FALSE,"ANEXO3 99 RDR";#N/A,#N/A,FALSE,"ANEXO3 99 UBÁ4";#N/A,#N/A,FALSE,"ANEXO3 99 UBÁ6"}</definedName>
    <definedName name="_____a999" localSheetId="11" hidden="1">{#N/A,#N/A,FALSE,"ANEXO3 99 ERA";#N/A,#N/A,FALSE,"ANEXO3 99 UBÁ2";#N/A,#N/A,FALSE,"ANEXO3 99 DTU";#N/A,#N/A,FALSE,"ANEXO3 99 RDR";#N/A,#N/A,FALSE,"ANEXO3 99 UBÁ4";#N/A,#N/A,FALSE,"ANEXO3 99 UBÁ6"}</definedName>
    <definedName name="_____a999" localSheetId="5" hidden="1">{#N/A,#N/A,FALSE,"ANEXO3 99 ERA";#N/A,#N/A,FALSE,"ANEXO3 99 UBÁ2";#N/A,#N/A,FALSE,"ANEXO3 99 DTU";#N/A,#N/A,FALSE,"ANEXO3 99 RDR";#N/A,#N/A,FALSE,"ANEXO3 99 UBÁ4";#N/A,#N/A,FALSE,"ANEXO3 99 UBÁ6"}</definedName>
    <definedName name="_____a999" localSheetId="4" hidden="1">{#N/A,#N/A,FALSE,"ANEXO3 99 ERA";#N/A,#N/A,FALSE,"ANEXO3 99 UBÁ2";#N/A,#N/A,FALSE,"ANEXO3 99 DTU";#N/A,#N/A,FALSE,"ANEXO3 99 RDR";#N/A,#N/A,FALSE,"ANEXO3 99 UBÁ4";#N/A,#N/A,FALSE,"ANEXO3 99 UBÁ6"}</definedName>
    <definedName name="_____a999" hidden="1">{#N/A,#N/A,FALSE,"ANEXO3 99 ERA";#N/A,#N/A,FALSE,"ANEXO3 99 UBÁ2";#N/A,#N/A,FALSE,"ANEXO3 99 DTU";#N/A,#N/A,FALSE,"ANEXO3 99 RDR";#N/A,#N/A,FALSE,"ANEXO3 99 UBÁ4";#N/A,#N/A,FALSE,"ANEXO3 99 UBÁ6"}</definedName>
    <definedName name="_____ago1" localSheetId="3" hidden="1">{"'gráf jan00'!$A$1:$AK$41"}</definedName>
    <definedName name="_____ago1" localSheetId="6" hidden="1">{"'gráf jan00'!$A$1:$AK$41"}</definedName>
    <definedName name="_____ago1" localSheetId="7" hidden="1">{"'gráf jan00'!$A$1:$AK$41"}</definedName>
    <definedName name="_____ago1" localSheetId="10" hidden="1">{"'gráf jan00'!$A$1:$AK$41"}</definedName>
    <definedName name="_____ago1" localSheetId="11" hidden="1">{"'gráf jan00'!$A$1:$AK$41"}</definedName>
    <definedName name="_____ago1" localSheetId="5" hidden="1">{"'gráf jan00'!$A$1:$AK$41"}</definedName>
    <definedName name="_____ago1" localSheetId="4" hidden="1">{"'gráf jan00'!$A$1:$AK$41"}</definedName>
    <definedName name="_____ago1" hidden="1">{"'gráf jan00'!$A$1:$AK$41"}</definedName>
    <definedName name="_____ago10" localSheetId="3" hidden="1">{"'gráf jan00'!$A$1:$AK$41"}</definedName>
    <definedName name="_____ago10" localSheetId="6" hidden="1">{"'gráf jan00'!$A$1:$AK$41"}</definedName>
    <definedName name="_____ago10" localSheetId="7" hidden="1">{"'gráf jan00'!$A$1:$AK$41"}</definedName>
    <definedName name="_____ago10" localSheetId="10" hidden="1">{"'gráf jan00'!$A$1:$AK$41"}</definedName>
    <definedName name="_____ago10" localSheetId="11" hidden="1">{"'gráf jan00'!$A$1:$AK$41"}</definedName>
    <definedName name="_____ago10" localSheetId="5" hidden="1">{"'gráf jan00'!$A$1:$AK$41"}</definedName>
    <definedName name="_____ago10" localSheetId="4" hidden="1">{"'gráf jan00'!$A$1:$AK$41"}</definedName>
    <definedName name="_____ago10" hidden="1">{"'gráf jan00'!$A$1:$AK$41"}</definedName>
    <definedName name="_____ago2" localSheetId="3" hidden="1">{"'gráf jan00'!$A$1:$AK$41"}</definedName>
    <definedName name="_____ago2" localSheetId="6" hidden="1">{"'gráf jan00'!$A$1:$AK$41"}</definedName>
    <definedName name="_____ago2" localSheetId="7" hidden="1">{"'gráf jan00'!$A$1:$AK$41"}</definedName>
    <definedName name="_____ago2" localSheetId="10" hidden="1">{"'gráf jan00'!$A$1:$AK$41"}</definedName>
    <definedName name="_____ago2" localSheetId="11" hidden="1">{"'gráf jan00'!$A$1:$AK$41"}</definedName>
    <definedName name="_____ago2" localSheetId="5" hidden="1">{"'gráf jan00'!$A$1:$AK$41"}</definedName>
    <definedName name="_____ago2" localSheetId="4" hidden="1">{"'gráf jan00'!$A$1:$AK$41"}</definedName>
    <definedName name="_____ago2" hidden="1">{"'gráf jan00'!$A$1:$AK$41"}</definedName>
    <definedName name="_____ago3" localSheetId="3" hidden="1">{"'gráf jan00'!$A$1:$AK$41"}</definedName>
    <definedName name="_____ago3" localSheetId="6" hidden="1">{"'gráf jan00'!$A$1:$AK$41"}</definedName>
    <definedName name="_____ago3" localSheetId="7" hidden="1">{"'gráf jan00'!$A$1:$AK$41"}</definedName>
    <definedName name="_____ago3" localSheetId="10" hidden="1">{"'gráf jan00'!$A$1:$AK$41"}</definedName>
    <definedName name="_____ago3" localSheetId="11" hidden="1">{"'gráf jan00'!$A$1:$AK$41"}</definedName>
    <definedName name="_____ago3" localSheetId="5" hidden="1">{"'gráf jan00'!$A$1:$AK$41"}</definedName>
    <definedName name="_____ago3" localSheetId="4" hidden="1">{"'gráf jan00'!$A$1:$AK$41"}</definedName>
    <definedName name="_____ago3" hidden="1">{"'gráf jan00'!$A$1:$AK$41"}</definedName>
    <definedName name="_____ago4" localSheetId="3" hidden="1">{"'gráf jan00'!$A$1:$AK$41"}</definedName>
    <definedName name="_____ago4" localSheetId="6" hidden="1">{"'gráf jan00'!$A$1:$AK$41"}</definedName>
    <definedName name="_____ago4" localSheetId="7" hidden="1">{"'gráf jan00'!$A$1:$AK$41"}</definedName>
    <definedName name="_____ago4" localSheetId="10" hidden="1">{"'gráf jan00'!$A$1:$AK$41"}</definedName>
    <definedName name="_____ago4" localSheetId="11" hidden="1">{"'gráf jan00'!$A$1:$AK$41"}</definedName>
    <definedName name="_____ago4" localSheetId="5" hidden="1">{"'gráf jan00'!$A$1:$AK$41"}</definedName>
    <definedName name="_____ago4" localSheetId="4" hidden="1">{"'gráf jan00'!$A$1:$AK$41"}</definedName>
    <definedName name="_____ago4" hidden="1">{"'gráf jan00'!$A$1:$AK$41"}</definedName>
    <definedName name="_____ago5" localSheetId="3" hidden="1">{"'gráf jan00'!$A$1:$AK$41"}</definedName>
    <definedName name="_____ago5" localSheetId="6" hidden="1">{"'gráf jan00'!$A$1:$AK$41"}</definedName>
    <definedName name="_____ago5" localSheetId="7" hidden="1">{"'gráf jan00'!$A$1:$AK$41"}</definedName>
    <definedName name="_____ago5" localSheetId="10" hidden="1">{"'gráf jan00'!$A$1:$AK$41"}</definedName>
    <definedName name="_____ago5" localSheetId="11" hidden="1">{"'gráf jan00'!$A$1:$AK$41"}</definedName>
    <definedName name="_____ago5" localSheetId="5" hidden="1">{"'gráf jan00'!$A$1:$AK$41"}</definedName>
    <definedName name="_____ago5" localSheetId="4" hidden="1">{"'gráf jan00'!$A$1:$AK$41"}</definedName>
    <definedName name="_____ago5" hidden="1">{"'gráf jan00'!$A$1:$AK$41"}</definedName>
    <definedName name="_____ago6" localSheetId="3" hidden="1">{"'gráf jan00'!$A$1:$AK$41"}</definedName>
    <definedName name="_____ago6" localSheetId="6" hidden="1">{"'gráf jan00'!$A$1:$AK$41"}</definedName>
    <definedName name="_____ago6" localSheetId="7" hidden="1">{"'gráf jan00'!$A$1:$AK$41"}</definedName>
    <definedName name="_____ago6" localSheetId="10" hidden="1">{"'gráf jan00'!$A$1:$AK$41"}</definedName>
    <definedName name="_____ago6" localSheetId="11" hidden="1">{"'gráf jan00'!$A$1:$AK$41"}</definedName>
    <definedName name="_____ago6" localSheetId="5" hidden="1">{"'gráf jan00'!$A$1:$AK$41"}</definedName>
    <definedName name="_____ago6" localSheetId="4" hidden="1">{"'gráf jan00'!$A$1:$AK$41"}</definedName>
    <definedName name="_____ago6" hidden="1">{"'gráf jan00'!$A$1:$AK$41"}</definedName>
    <definedName name="_____ago7" localSheetId="3" hidden="1">{"'gráf jan00'!$A$1:$AK$41"}</definedName>
    <definedName name="_____ago7" localSheetId="6" hidden="1">{"'gráf jan00'!$A$1:$AK$41"}</definedName>
    <definedName name="_____ago7" localSheetId="7" hidden="1">{"'gráf jan00'!$A$1:$AK$41"}</definedName>
    <definedName name="_____ago7" localSheetId="10" hidden="1">{"'gráf jan00'!$A$1:$AK$41"}</definedName>
    <definedName name="_____ago7" localSheetId="11" hidden="1">{"'gráf jan00'!$A$1:$AK$41"}</definedName>
    <definedName name="_____ago7" localSheetId="5" hidden="1">{"'gráf jan00'!$A$1:$AK$41"}</definedName>
    <definedName name="_____ago7" localSheetId="4" hidden="1">{"'gráf jan00'!$A$1:$AK$41"}</definedName>
    <definedName name="_____ago7" hidden="1">{"'gráf jan00'!$A$1:$AK$41"}</definedName>
    <definedName name="_____ago8" localSheetId="3" hidden="1">{"'gráf jan00'!$A$1:$AK$41"}</definedName>
    <definedName name="_____ago8" localSheetId="6" hidden="1">{"'gráf jan00'!$A$1:$AK$41"}</definedName>
    <definedName name="_____ago8" localSheetId="7" hidden="1">{"'gráf jan00'!$A$1:$AK$41"}</definedName>
    <definedName name="_____ago8" localSheetId="10" hidden="1">{"'gráf jan00'!$A$1:$AK$41"}</definedName>
    <definedName name="_____ago8" localSheetId="11" hidden="1">{"'gráf jan00'!$A$1:$AK$41"}</definedName>
    <definedName name="_____ago8" localSheetId="5" hidden="1">{"'gráf jan00'!$A$1:$AK$41"}</definedName>
    <definedName name="_____ago8" localSheetId="4" hidden="1">{"'gráf jan00'!$A$1:$AK$41"}</definedName>
    <definedName name="_____ago8" hidden="1">{"'gráf jan00'!$A$1:$AK$41"}</definedName>
    <definedName name="_____ago9" localSheetId="3" hidden="1">{"'gráf jan00'!$A$1:$AK$41"}</definedName>
    <definedName name="_____ago9" localSheetId="6" hidden="1">{"'gráf jan00'!$A$1:$AK$41"}</definedName>
    <definedName name="_____ago9" localSheetId="7" hidden="1">{"'gráf jan00'!$A$1:$AK$41"}</definedName>
    <definedName name="_____ago9" localSheetId="10" hidden="1">{"'gráf jan00'!$A$1:$AK$41"}</definedName>
    <definedName name="_____ago9" localSheetId="11" hidden="1">{"'gráf jan00'!$A$1:$AK$41"}</definedName>
    <definedName name="_____ago9" localSheetId="5" hidden="1">{"'gráf jan00'!$A$1:$AK$41"}</definedName>
    <definedName name="_____ago9" localSheetId="4" hidden="1">{"'gráf jan00'!$A$1:$AK$41"}</definedName>
    <definedName name="_____ago9" hidden="1">{"'gráf jan00'!$A$1:$AK$41"}</definedName>
    <definedName name="_____ago99999" localSheetId="3" hidden="1">{"'gráf jan00'!$A$1:$AK$41"}</definedName>
    <definedName name="_____ago99999" localSheetId="6" hidden="1">{"'gráf jan00'!$A$1:$AK$41"}</definedName>
    <definedName name="_____ago99999" localSheetId="7" hidden="1">{"'gráf jan00'!$A$1:$AK$41"}</definedName>
    <definedName name="_____ago99999" localSheetId="10" hidden="1">{"'gráf jan00'!$A$1:$AK$41"}</definedName>
    <definedName name="_____ago99999" localSheetId="11" hidden="1">{"'gráf jan00'!$A$1:$AK$41"}</definedName>
    <definedName name="_____ago99999" localSheetId="5" hidden="1">{"'gráf jan00'!$A$1:$AK$41"}</definedName>
    <definedName name="_____ago99999" localSheetId="4" hidden="1">{"'gráf jan00'!$A$1:$AK$41"}</definedName>
    <definedName name="_____ago99999" hidden="1">{"'gráf jan00'!$A$1:$AK$41"}</definedName>
    <definedName name="_____DEF2" localSheetId="3" hidden="1">{#N/A,#N/A,FALSE,"DEF1";#N/A,#N/A,FALSE,"DEF2";#N/A,#N/A,FALSE,"DEF3"}</definedName>
    <definedName name="_____DEF2" localSheetId="6" hidden="1">{#N/A,#N/A,FALSE,"DEF1";#N/A,#N/A,FALSE,"DEF2";#N/A,#N/A,FALSE,"DEF3"}</definedName>
    <definedName name="_____DEF2" localSheetId="7" hidden="1">{#N/A,#N/A,FALSE,"DEF1";#N/A,#N/A,FALSE,"DEF2";#N/A,#N/A,FALSE,"DEF3"}</definedName>
    <definedName name="_____DEF2" localSheetId="10" hidden="1">{#N/A,#N/A,FALSE,"DEF1";#N/A,#N/A,FALSE,"DEF2";#N/A,#N/A,FALSE,"DEF3"}</definedName>
    <definedName name="_____DEF2" localSheetId="11" hidden="1">{#N/A,#N/A,FALSE,"DEF1";#N/A,#N/A,FALSE,"DEF2";#N/A,#N/A,FALSE,"DEF3"}</definedName>
    <definedName name="_____DEF2" localSheetId="5" hidden="1">{#N/A,#N/A,FALSE,"DEF1";#N/A,#N/A,FALSE,"DEF2";#N/A,#N/A,FALSE,"DEF3"}</definedName>
    <definedName name="_____DEF2" localSheetId="4" hidden="1">{#N/A,#N/A,FALSE,"DEF1";#N/A,#N/A,FALSE,"DEF2";#N/A,#N/A,FALSE,"DEF3"}</definedName>
    <definedName name="_____DEF2" hidden="1">{#N/A,#N/A,FALSE,"DEF1";#N/A,#N/A,FALSE,"DEF2";#N/A,#N/A,FALSE,"DEF3"}</definedName>
    <definedName name="_____DEF3" localSheetId="3" hidden="1">{#N/A,#N/A,FALSE,"DEF1";#N/A,#N/A,FALSE,"DEF2";#N/A,#N/A,FALSE,"DEF3"}</definedName>
    <definedName name="_____DEF3" localSheetId="6" hidden="1">{#N/A,#N/A,FALSE,"DEF1";#N/A,#N/A,FALSE,"DEF2";#N/A,#N/A,FALSE,"DEF3"}</definedName>
    <definedName name="_____DEF3" localSheetId="7" hidden="1">{#N/A,#N/A,FALSE,"DEF1";#N/A,#N/A,FALSE,"DEF2";#N/A,#N/A,FALSE,"DEF3"}</definedName>
    <definedName name="_____DEF3" localSheetId="10" hidden="1">{#N/A,#N/A,FALSE,"DEF1";#N/A,#N/A,FALSE,"DEF2";#N/A,#N/A,FALSE,"DEF3"}</definedName>
    <definedName name="_____DEF3" localSheetId="11" hidden="1">{#N/A,#N/A,FALSE,"DEF1";#N/A,#N/A,FALSE,"DEF2";#N/A,#N/A,FALSE,"DEF3"}</definedName>
    <definedName name="_____DEF3" localSheetId="5" hidden="1">{#N/A,#N/A,FALSE,"DEF1";#N/A,#N/A,FALSE,"DEF2";#N/A,#N/A,FALSE,"DEF3"}</definedName>
    <definedName name="_____DEF3" localSheetId="4" hidden="1">{#N/A,#N/A,FALSE,"DEF1";#N/A,#N/A,FALSE,"DEF2";#N/A,#N/A,FALSE,"DEF3"}</definedName>
    <definedName name="_____DEF3" hidden="1">{#N/A,#N/A,FALSE,"DEF1";#N/A,#N/A,FALSE,"DEF2";#N/A,#N/A,FALSE,"DEF3"}</definedName>
    <definedName name="_____efc10" localSheetId="3" hidden="1">{"'RR'!$A$2:$E$81"}</definedName>
    <definedName name="_____efc10" localSheetId="6" hidden="1">{"'RR'!$A$2:$E$81"}</definedName>
    <definedName name="_____efc10" localSheetId="7" hidden="1">{"'RR'!$A$2:$E$81"}</definedName>
    <definedName name="_____efc10" localSheetId="10" hidden="1">{"'RR'!$A$2:$E$81"}</definedName>
    <definedName name="_____efc10" localSheetId="11" hidden="1">{"'RR'!$A$2:$E$81"}</definedName>
    <definedName name="_____efc10" localSheetId="5" hidden="1">{"'RR'!$A$2:$E$81"}</definedName>
    <definedName name="_____efc10" localSheetId="4" hidden="1">{"'RR'!$A$2:$E$81"}</definedName>
    <definedName name="_____efc10" hidden="1">{"'RR'!$A$2:$E$81"}</definedName>
    <definedName name="_____EFC2" localSheetId="3" hidden="1">{"'RR'!$A$2:$E$81"}</definedName>
    <definedName name="_____EFC2" localSheetId="6" hidden="1">{"'RR'!$A$2:$E$81"}</definedName>
    <definedName name="_____EFC2" localSheetId="7" hidden="1">{"'RR'!$A$2:$E$81"}</definedName>
    <definedName name="_____EFC2" localSheetId="10" hidden="1">{"'RR'!$A$2:$E$81"}</definedName>
    <definedName name="_____EFC2" localSheetId="11" hidden="1">{"'RR'!$A$2:$E$81"}</definedName>
    <definedName name="_____EFC2" localSheetId="5" hidden="1">{"'RR'!$A$2:$E$81"}</definedName>
    <definedName name="_____EFC2" localSheetId="4" hidden="1">{"'RR'!$A$2:$E$81"}</definedName>
    <definedName name="_____EFC2" hidden="1">{"'RR'!$A$2:$E$81"}</definedName>
    <definedName name="_____EFC3" localSheetId="3" hidden="1">{"'RR'!$A$2:$E$81"}</definedName>
    <definedName name="_____EFC3" localSheetId="6" hidden="1">{"'RR'!$A$2:$E$81"}</definedName>
    <definedName name="_____EFC3" localSheetId="7" hidden="1">{"'RR'!$A$2:$E$81"}</definedName>
    <definedName name="_____EFC3" localSheetId="10" hidden="1">{"'RR'!$A$2:$E$81"}</definedName>
    <definedName name="_____EFC3" localSheetId="11" hidden="1">{"'RR'!$A$2:$E$81"}</definedName>
    <definedName name="_____EFC3" localSheetId="5" hidden="1">{"'RR'!$A$2:$E$81"}</definedName>
    <definedName name="_____EFC3" localSheetId="4" hidden="1">{"'RR'!$A$2:$E$81"}</definedName>
    <definedName name="_____EFC3" hidden="1">{"'RR'!$A$2:$E$81"}</definedName>
    <definedName name="_____EFC4" localSheetId="3" hidden="1">{"'RR'!$A$2:$E$81"}</definedName>
    <definedName name="_____EFC4" localSheetId="6" hidden="1">{"'RR'!$A$2:$E$81"}</definedName>
    <definedName name="_____EFC4" localSheetId="7" hidden="1">{"'RR'!$A$2:$E$81"}</definedName>
    <definedName name="_____EFC4" localSheetId="10" hidden="1">{"'RR'!$A$2:$E$81"}</definedName>
    <definedName name="_____EFC4" localSheetId="11" hidden="1">{"'RR'!$A$2:$E$81"}</definedName>
    <definedName name="_____EFC4" localSheetId="5" hidden="1">{"'RR'!$A$2:$E$81"}</definedName>
    <definedName name="_____EFC4" localSheetId="4" hidden="1">{"'RR'!$A$2:$E$81"}</definedName>
    <definedName name="_____EFC4" hidden="1">{"'RR'!$A$2:$E$81"}</definedName>
    <definedName name="_____ffp16" localSheetId="3" hidden="1">{"'gráf jan00'!$A$1:$AK$41"}</definedName>
    <definedName name="_____ffp16" localSheetId="6" hidden="1">{"'gráf jan00'!$A$1:$AK$41"}</definedName>
    <definedName name="_____ffp16" localSheetId="7" hidden="1">{"'gráf jan00'!$A$1:$AK$41"}</definedName>
    <definedName name="_____ffp16" localSheetId="10" hidden="1">{"'gráf jan00'!$A$1:$AK$41"}</definedName>
    <definedName name="_____ffp16" localSheetId="11" hidden="1">{"'gráf jan00'!$A$1:$AK$41"}</definedName>
    <definedName name="_____ffp16" localSheetId="5" hidden="1">{"'gráf jan00'!$A$1:$AK$41"}</definedName>
    <definedName name="_____ffp16" localSheetId="4" hidden="1">{"'gráf jan00'!$A$1:$AK$41"}</definedName>
    <definedName name="_____ffp16" hidden="1">{"'gráf jan00'!$A$1:$AK$41"}</definedName>
    <definedName name="_____ffp4589" localSheetId="3" hidden="1">{"'gráf jan00'!$A$1:$AK$41"}</definedName>
    <definedName name="_____ffp4589" localSheetId="6" hidden="1">{"'gráf jan00'!$A$1:$AK$41"}</definedName>
    <definedName name="_____ffp4589" localSheetId="7" hidden="1">{"'gráf jan00'!$A$1:$AK$41"}</definedName>
    <definedName name="_____ffp4589" localSheetId="10" hidden="1">{"'gráf jan00'!$A$1:$AK$41"}</definedName>
    <definedName name="_____ffp4589" localSheetId="11" hidden="1">{"'gráf jan00'!$A$1:$AK$41"}</definedName>
    <definedName name="_____ffp4589" localSheetId="5" hidden="1">{"'gráf jan00'!$A$1:$AK$41"}</definedName>
    <definedName name="_____ffp4589" localSheetId="4" hidden="1">{"'gráf jan00'!$A$1:$AK$41"}</definedName>
    <definedName name="_____ffp4589" hidden="1">{"'gráf jan00'!$A$1:$AK$41"}</definedName>
    <definedName name="_____jun04" localSheetId="3" hidden="1">{"'gráf jan00'!$A$1:$AK$41"}</definedName>
    <definedName name="_____jun04" localSheetId="6" hidden="1">{"'gráf jan00'!$A$1:$AK$41"}</definedName>
    <definedName name="_____jun04" localSheetId="7" hidden="1">{"'gráf jan00'!$A$1:$AK$41"}</definedName>
    <definedName name="_____jun04" localSheetId="10" hidden="1">{"'gráf jan00'!$A$1:$AK$41"}</definedName>
    <definedName name="_____jun04" localSheetId="11" hidden="1">{"'gráf jan00'!$A$1:$AK$41"}</definedName>
    <definedName name="_____jun04" localSheetId="5" hidden="1">{"'gráf jan00'!$A$1:$AK$41"}</definedName>
    <definedName name="_____jun04" localSheetId="4" hidden="1">{"'gráf jan00'!$A$1:$AK$41"}</definedName>
    <definedName name="_____jun04" hidden="1">{"'gráf jan00'!$A$1:$AK$41"}</definedName>
    <definedName name="_____MOA1" localSheetId="3" hidden="1">{#N/A,#N/A,FALSE,"DEF1";#N/A,#N/A,FALSE,"DEF2";#N/A,#N/A,FALSE,"DEF3"}</definedName>
    <definedName name="_____MOA1" localSheetId="6" hidden="1">{#N/A,#N/A,FALSE,"DEF1";#N/A,#N/A,FALSE,"DEF2";#N/A,#N/A,FALSE,"DEF3"}</definedName>
    <definedName name="_____MOA1" localSheetId="7" hidden="1">{#N/A,#N/A,FALSE,"DEF1";#N/A,#N/A,FALSE,"DEF2";#N/A,#N/A,FALSE,"DEF3"}</definedName>
    <definedName name="_____MOA1" localSheetId="10" hidden="1">{#N/A,#N/A,FALSE,"DEF1";#N/A,#N/A,FALSE,"DEF2";#N/A,#N/A,FALSE,"DEF3"}</definedName>
    <definedName name="_____MOA1" localSheetId="11" hidden="1">{#N/A,#N/A,FALSE,"DEF1";#N/A,#N/A,FALSE,"DEF2";#N/A,#N/A,FALSE,"DEF3"}</definedName>
    <definedName name="_____MOA1" localSheetId="5" hidden="1">{#N/A,#N/A,FALSE,"DEF1";#N/A,#N/A,FALSE,"DEF2";#N/A,#N/A,FALSE,"DEF3"}</definedName>
    <definedName name="_____MOA1" localSheetId="4" hidden="1">{#N/A,#N/A,FALSE,"DEF1";#N/A,#N/A,FALSE,"DEF2";#N/A,#N/A,FALSE,"DEF3"}</definedName>
    <definedName name="_____MOA1" hidden="1">{#N/A,#N/A,FALSE,"DEF1";#N/A,#N/A,FALSE,"DEF2";#N/A,#N/A,FALSE,"DEF3"}</definedName>
    <definedName name="_____MOA2" localSheetId="3" hidden="1">{#N/A,#N/A,FALSE,"DEF1";#N/A,#N/A,FALSE,"DEF2";#N/A,#N/A,FALSE,"DEF3"}</definedName>
    <definedName name="_____MOA2" localSheetId="6" hidden="1">{#N/A,#N/A,FALSE,"DEF1";#N/A,#N/A,FALSE,"DEF2";#N/A,#N/A,FALSE,"DEF3"}</definedName>
    <definedName name="_____MOA2" localSheetId="7" hidden="1">{#N/A,#N/A,FALSE,"DEF1";#N/A,#N/A,FALSE,"DEF2";#N/A,#N/A,FALSE,"DEF3"}</definedName>
    <definedName name="_____MOA2" localSheetId="10" hidden="1">{#N/A,#N/A,FALSE,"DEF1";#N/A,#N/A,FALSE,"DEF2";#N/A,#N/A,FALSE,"DEF3"}</definedName>
    <definedName name="_____MOA2" localSheetId="11" hidden="1">{#N/A,#N/A,FALSE,"DEF1";#N/A,#N/A,FALSE,"DEF2";#N/A,#N/A,FALSE,"DEF3"}</definedName>
    <definedName name="_____MOA2" localSheetId="5" hidden="1">{#N/A,#N/A,FALSE,"DEF1";#N/A,#N/A,FALSE,"DEF2";#N/A,#N/A,FALSE,"DEF3"}</definedName>
    <definedName name="_____MOA2" localSheetId="4" hidden="1">{#N/A,#N/A,FALSE,"DEF1";#N/A,#N/A,FALSE,"DEF2";#N/A,#N/A,FALSE,"DEF3"}</definedName>
    <definedName name="_____MOA2" hidden="1">{#N/A,#N/A,FALSE,"DEF1";#N/A,#N/A,FALSE,"DEF2";#N/A,#N/A,FALSE,"DEF3"}</definedName>
    <definedName name="_____n2" localSheetId="3" hidden="1">{#N/A,#N/A,FALSE,"PCOL"}</definedName>
    <definedName name="_____n2" localSheetId="6" hidden="1">{#N/A,#N/A,FALSE,"PCOL"}</definedName>
    <definedName name="_____n2" localSheetId="7" hidden="1">{#N/A,#N/A,FALSE,"PCOL"}</definedName>
    <definedName name="_____n2" localSheetId="10" hidden="1">{#N/A,#N/A,FALSE,"PCOL"}</definedName>
    <definedName name="_____n2" localSheetId="11" hidden="1">{#N/A,#N/A,FALSE,"PCOL"}</definedName>
    <definedName name="_____n2" localSheetId="5" hidden="1">{#N/A,#N/A,FALSE,"PCOL"}</definedName>
    <definedName name="_____n2" localSheetId="4" hidden="1">{#N/A,#N/A,FALSE,"PCOL"}</definedName>
    <definedName name="_____n2" hidden="1">{#N/A,#N/A,FALSE,"PCOL"}</definedName>
    <definedName name="_____PN10" localSheetId="3" hidden="1">{"'gráf jan00'!$A$1:$AK$41"}</definedName>
    <definedName name="_____PN10" localSheetId="6" hidden="1">{"'gráf jan00'!$A$1:$AK$41"}</definedName>
    <definedName name="_____PN10" localSheetId="7" hidden="1">{"'gráf jan00'!$A$1:$AK$41"}</definedName>
    <definedName name="_____PN10" localSheetId="10" hidden="1">{"'gráf jan00'!$A$1:$AK$41"}</definedName>
    <definedName name="_____PN10" localSheetId="11" hidden="1">{"'gráf jan00'!$A$1:$AK$41"}</definedName>
    <definedName name="_____PN10" localSheetId="5" hidden="1">{"'gráf jan00'!$A$1:$AK$41"}</definedName>
    <definedName name="_____PN10" localSheetId="4" hidden="1">{"'gráf jan00'!$A$1:$AK$41"}</definedName>
    <definedName name="_____PN10" hidden="1">{"'gráf jan00'!$A$1:$AK$41"}</definedName>
    <definedName name="_____r" localSheetId="3" hidden="1">{#N/A,#N/A,FALSE,"PCOL"}</definedName>
    <definedName name="_____r" localSheetId="6" hidden="1">{#N/A,#N/A,FALSE,"PCOL"}</definedName>
    <definedName name="_____r" localSheetId="7" hidden="1">{#N/A,#N/A,FALSE,"PCOL"}</definedName>
    <definedName name="_____r" localSheetId="10" hidden="1">{#N/A,#N/A,FALSE,"PCOL"}</definedName>
    <definedName name="_____r" localSheetId="11" hidden="1">{#N/A,#N/A,FALSE,"PCOL"}</definedName>
    <definedName name="_____r" localSheetId="5" hidden="1">{#N/A,#N/A,FALSE,"PCOL"}</definedName>
    <definedName name="_____r" localSheetId="4" hidden="1">{#N/A,#N/A,FALSE,"PCOL"}</definedName>
    <definedName name="_____r" hidden="1">{#N/A,#N/A,FALSE,"PCOL"}</definedName>
    <definedName name="____a999" localSheetId="3" hidden="1">{#N/A,#N/A,FALSE,"ANEXO3 99 ERA";#N/A,#N/A,FALSE,"ANEXO3 99 UBÁ2";#N/A,#N/A,FALSE,"ANEXO3 99 DTU";#N/A,#N/A,FALSE,"ANEXO3 99 RDR";#N/A,#N/A,FALSE,"ANEXO3 99 UBÁ4";#N/A,#N/A,FALSE,"ANEXO3 99 UBÁ6"}</definedName>
    <definedName name="____a999" localSheetId="6" hidden="1">{#N/A,#N/A,FALSE,"ANEXO3 99 ERA";#N/A,#N/A,FALSE,"ANEXO3 99 UBÁ2";#N/A,#N/A,FALSE,"ANEXO3 99 DTU";#N/A,#N/A,FALSE,"ANEXO3 99 RDR";#N/A,#N/A,FALSE,"ANEXO3 99 UBÁ4";#N/A,#N/A,FALSE,"ANEXO3 99 UBÁ6"}</definedName>
    <definedName name="____a999" localSheetId="7" hidden="1">{#N/A,#N/A,FALSE,"ANEXO3 99 ERA";#N/A,#N/A,FALSE,"ANEXO3 99 UBÁ2";#N/A,#N/A,FALSE,"ANEXO3 99 DTU";#N/A,#N/A,FALSE,"ANEXO3 99 RDR";#N/A,#N/A,FALSE,"ANEXO3 99 UBÁ4";#N/A,#N/A,FALSE,"ANEXO3 99 UBÁ6"}</definedName>
    <definedName name="____a999" localSheetId="10" hidden="1">{#N/A,#N/A,FALSE,"ANEXO3 99 ERA";#N/A,#N/A,FALSE,"ANEXO3 99 UBÁ2";#N/A,#N/A,FALSE,"ANEXO3 99 DTU";#N/A,#N/A,FALSE,"ANEXO3 99 RDR";#N/A,#N/A,FALSE,"ANEXO3 99 UBÁ4";#N/A,#N/A,FALSE,"ANEXO3 99 UBÁ6"}</definedName>
    <definedName name="____a999" localSheetId="11" hidden="1">{#N/A,#N/A,FALSE,"ANEXO3 99 ERA";#N/A,#N/A,FALSE,"ANEXO3 99 UBÁ2";#N/A,#N/A,FALSE,"ANEXO3 99 DTU";#N/A,#N/A,FALSE,"ANEXO3 99 RDR";#N/A,#N/A,FALSE,"ANEXO3 99 UBÁ4";#N/A,#N/A,FALSE,"ANEXO3 99 UBÁ6"}</definedName>
    <definedName name="____a999" localSheetId="5" hidden="1">{#N/A,#N/A,FALSE,"ANEXO3 99 ERA";#N/A,#N/A,FALSE,"ANEXO3 99 UBÁ2";#N/A,#N/A,FALSE,"ANEXO3 99 DTU";#N/A,#N/A,FALSE,"ANEXO3 99 RDR";#N/A,#N/A,FALSE,"ANEXO3 99 UBÁ4";#N/A,#N/A,FALSE,"ANEXO3 99 UBÁ6"}</definedName>
    <definedName name="____a999" localSheetId="4" hidden="1">{#N/A,#N/A,FALSE,"ANEXO3 99 ERA";#N/A,#N/A,FALSE,"ANEXO3 99 UBÁ2";#N/A,#N/A,FALSE,"ANEXO3 99 DTU";#N/A,#N/A,FALSE,"ANEXO3 99 RDR";#N/A,#N/A,FALSE,"ANEXO3 99 UBÁ4";#N/A,#N/A,FALSE,"ANEXO3 99 UBÁ6"}</definedName>
    <definedName name="____a999" hidden="1">{#N/A,#N/A,FALSE,"ANEXO3 99 ERA";#N/A,#N/A,FALSE,"ANEXO3 99 UBÁ2";#N/A,#N/A,FALSE,"ANEXO3 99 DTU";#N/A,#N/A,FALSE,"ANEXO3 99 RDR";#N/A,#N/A,FALSE,"ANEXO3 99 UBÁ4";#N/A,#N/A,FALSE,"ANEXO3 99 UBÁ6"}</definedName>
    <definedName name="____adm1" localSheetId="3" hidden="1">{"'Índice'!$A$1:$K$49"}</definedName>
    <definedName name="____adm1" localSheetId="6" hidden="1">{"'Índice'!$A$1:$K$49"}</definedName>
    <definedName name="____adm1" localSheetId="7" hidden="1">{"'Índice'!$A$1:$K$49"}</definedName>
    <definedName name="____adm1" localSheetId="10" hidden="1">{"'Índice'!$A$1:$K$49"}</definedName>
    <definedName name="____adm1" localSheetId="11" hidden="1">{"'Índice'!$A$1:$K$49"}</definedName>
    <definedName name="____adm1" localSheetId="5" hidden="1">{"'Índice'!$A$1:$K$49"}</definedName>
    <definedName name="____adm1" localSheetId="4" hidden="1">{"'Índice'!$A$1:$K$49"}</definedName>
    <definedName name="____adm1" hidden="1">{"'Índice'!$A$1:$K$49"}</definedName>
    <definedName name="____adm2" localSheetId="3" hidden="1">{"VENTAS1",#N/A,FALSE,"VENTAS";"VENTAS2",#N/A,FALSE,"VENTAS";"VENTAS3",#N/A,FALSE,"VENTAS";"VENTAS4",#N/A,FALSE,"VENTAS";"VENTAS5",#N/A,FALSE,"VENTAS";"VENTAS6",#N/A,FALSE,"VENTAS";"VENTAS7",#N/A,FALSE,"VENTAS";"VENTAS8",#N/A,FALSE,"VENTAS"}</definedName>
    <definedName name="____adm2" localSheetId="6" hidden="1">{"VENTAS1",#N/A,FALSE,"VENTAS";"VENTAS2",#N/A,FALSE,"VENTAS";"VENTAS3",#N/A,FALSE,"VENTAS";"VENTAS4",#N/A,FALSE,"VENTAS";"VENTAS5",#N/A,FALSE,"VENTAS";"VENTAS6",#N/A,FALSE,"VENTAS";"VENTAS7",#N/A,FALSE,"VENTAS";"VENTAS8",#N/A,FALSE,"VENTAS"}</definedName>
    <definedName name="____adm2" localSheetId="7" hidden="1">{"VENTAS1",#N/A,FALSE,"VENTAS";"VENTAS2",#N/A,FALSE,"VENTAS";"VENTAS3",#N/A,FALSE,"VENTAS";"VENTAS4",#N/A,FALSE,"VENTAS";"VENTAS5",#N/A,FALSE,"VENTAS";"VENTAS6",#N/A,FALSE,"VENTAS";"VENTAS7",#N/A,FALSE,"VENTAS";"VENTAS8",#N/A,FALSE,"VENTAS"}</definedName>
    <definedName name="____adm2" localSheetId="10" hidden="1">{"VENTAS1",#N/A,FALSE,"VENTAS";"VENTAS2",#N/A,FALSE,"VENTAS";"VENTAS3",#N/A,FALSE,"VENTAS";"VENTAS4",#N/A,FALSE,"VENTAS";"VENTAS5",#N/A,FALSE,"VENTAS";"VENTAS6",#N/A,FALSE,"VENTAS";"VENTAS7",#N/A,FALSE,"VENTAS";"VENTAS8",#N/A,FALSE,"VENTAS"}</definedName>
    <definedName name="____adm2" localSheetId="11" hidden="1">{"VENTAS1",#N/A,FALSE,"VENTAS";"VENTAS2",#N/A,FALSE,"VENTAS";"VENTAS3",#N/A,FALSE,"VENTAS";"VENTAS4",#N/A,FALSE,"VENTAS";"VENTAS5",#N/A,FALSE,"VENTAS";"VENTAS6",#N/A,FALSE,"VENTAS";"VENTAS7",#N/A,FALSE,"VENTAS";"VENTAS8",#N/A,FALSE,"VENTAS"}</definedName>
    <definedName name="____adm2" localSheetId="5" hidden="1">{"VENTAS1",#N/A,FALSE,"VENTAS";"VENTAS2",#N/A,FALSE,"VENTAS";"VENTAS3",#N/A,FALSE,"VENTAS";"VENTAS4",#N/A,FALSE,"VENTAS";"VENTAS5",#N/A,FALSE,"VENTAS";"VENTAS6",#N/A,FALSE,"VENTAS";"VENTAS7",#N/A,FALSE,"VENTAS";"VENTAS8",#N/A,FALSE,"VENTAS"}</definedName>
    <definedName name="____adm2" localSheetId="4" hidden="1">{"VENTAS1",#N/A,FALSE,"VENTAS";"VENTAS2",#N/A,FALSE,"VENTAS";"VENTAS3",#N/A,FALSE,"VENTAS";"VENTAS4",#N/A,FALSE,"VENTAS";"VENTAS5",#N/A,FALSE,"VENTAS";"VENTAS6",#N/A,FALSE,"VENTAS";"VENTAS7",#N/A,FALSE,"VENTAS";"VENTAS8",#N/A,FALSE,"VENTAS"}</definedName>
    <definedName name="____adm2" hidden="1">{"VENTAS1",#N/A,FALSE,"VENTAS";"VENTAS2",#N/A,FALSE,"VENTAS";"VENTAS3",#N/A,FALSE,"VENTAS";"VENTAS4",#N/A,FALSE,"VENTAS";"VENTAS5",#N/A,FALSE,"VENTAS";"VENTAS6",#N/A,FALSE,"VENTAS";"VENTAS7",#N/A,FALSE,"VENTAS";"VENTAS8",#N/A,FALSE,"VENTAS"}</definedName>
    <definedName name="____ago1" localSheetId="3" hidden="1">{"'gráf jan00'!$A$1:$AK$41"}</definedName>
    <definedName name="____ago1" localSheetId="6" hidden="1">{"'gráf jan00'!$A$1:$AK$41"}</definedName>
    <definedName name="____ago1" localSheetId="7" hidden="1">{"'gráf jan00'!$A$1:$AK$41"}</definedName>
    <definedName name="____ago1" localSheetId="10" hidden="1">{"'gráf jan00'!$A$1:$AK$41"}</definedName>
    <definedName name="____ago1" localSheetId="11" hidden="1">{"'gráf jan00'!$A$1:$AK$41"}</definedName>
    <definedName name="____ago1" localSheetId="5" hidden="1">{"'gráf jan00'!$A$1:$AK$41"}</definedName>
    <definedName name="____ago1" localSheetId="4" hidden="1">{"'gráf jan00'!$A$1:$AK$41"}</definedName>
    <definedName name="____ago1" hidden="1">{"'gráf jan00'!$A$1:$AK$41"}</definedName>
    <definedName name="____ago10" localSheetId="3" hidden="1">{"'gráf jan00'!$A$1:$AK$41"}</definedName>
    <definedName name="____ago10" localSheetId="6" hidden="1">{"'gráf jan00'!$A$1:$AK$41"}</definedName>
    <definedName name="____ago10" localSheetId="7" hidden="1">{"'gráf jan00'!$A$1:$AK$41"}</definedName>
    <definedName name="____ago10" localSheetId="10" hidden="1">{"'gráf jan00'!$A$1:$AK$41"}</definedName>
    <definedName name="____ago10" localSheetId="11" hidden="1">{"'gráf jan00'!$A$1:$AK$41"}</definedName>
    <definedName name="____ago10" localSheetId="5" hidden="1">{"'gráf jan00'!$A$1:$AK$41"}</definedName>
    <definedName name="____ago10" localSheetId="4" hidden="1">{"'gráf jan00'!$A$1:$AK$41"}</definedName>
    <definedName name="____ago10" hidden="1">{"'gráf jan00'!$A$1:$AK$41"}</definedName>
    <definedName name="____ago2" localSheetId="3" hidden="1">{"'gráf jan00'!$A$1:$AK$41"}</definedName>
    <definedName name="____ago2" localSheetId="6" hidden="1">{"'gráf jan00'!$A$1:$AK$41"}</definedName>
    <definedName name="____ago2" localSheetId="7" hidden="1">{"'gráf jan00'!$A$1:$AK$41"}</definedName>
    <definedName name="____ago2" localSheetId="10" hidden="1">{"'gráf jan00'!$A$1:$AK$41"}</definedName>
    <definedName name="____ago2" localSheetId="11" hidden="1">{"'gráf jan00'!$A$1:$AK$41"}</definedName>
    <definedName name="____ago2" localSheetId="5" hidden="1">{"'gráf jan00'!$A$1:$AK$41"}</definedName>
    <definedName name="____ago2" localSheetId="4" hidden="1">{"'gráf jan00'!$A$1:$AK$41"}</definedName>
    <definedName name="____ago2" hidden="1">{"'gráf jan00'!$A$1:$AK$41"}</definedName>
    <definedName name="____ago3" localSheetId="3" hidden="1">{"'gráf jan00'!$A$1:$AK$41"}</definedName>
    <definedName name="____ago3" localSheetId="6" hidden="1">{"'gráf jan00'!$A$1:$AK$41"}</definedName>
    <definedName name="____ago3" localSheetId="7" hidden="1">{"'gráf jan00'!$A$1:$AK$41"}</definedName>
    <definedName name="____ago3" localSheetId="10" hidden="1">{"'gráf jan00'!$A$1:$AK$41"}</definedName>
    <definedName name="____ago3" localSheetId="11" hidden="1">{"'gráf jan00'!$A$1:$AK$41"}</definedName>
    <definedName name="____ago3" localSheetId="5" hidden="1">{"'gráf jan00'!$A$1:$AK$41"}</definedName>
    <definedName name="____ago3" localSheetId="4" hidden="1">{"'gráf jan00'!$A$1:$AK$41"}</definedName>
    <definedName name="____ago3" hidden="1">{"'gráf jan00'!$A$1:$AK$41"}</definedName>
    <definedName name="____ago4" localSheetId="3" hidden="1">{"'gráf jan00'!$A$1:$AK$41"}</definedName>
    <definedName name="____ago4" localSheetId="6" hidden="1">{"'gráf jan00'!$A$1:$AK$41"}</definedName>
    <definedName name="____ago4" localSheetId="7" hidden="1">{"'gráf jan00'!$A$1:$AK$41"}</definedName>
    <definedName name="____ago4" localSheetId="10" hidden="1">{"'gráf jan00'!$A$1:$AK$41"}</definedName>
    <definedName name="____ago4" localSheetId="11" hidden="1">{"'gráf jan00'!$A$1:$AK$41"}</definedName>
    <definedName name="____ago4" localSheetId="5" hidden="1">{"'gráf jan00'!$A$1:$AK$41"}</definedName>
    <definedName name="____ago4" localSheetId="4" hidden="1">{"'gráf jan00'!$A$1:$AK$41"}</definedName>
    <definedName name="____ago4" hidden="1">{"'gráf jan00'!$A$1:$AK$41"}</definedName>
    <definedName name="____ago5" localSheetId="3" hidden="1">{"'gráf jan00'!$A$1:$AK$41"}</definedName>
    <definedName name="____ago5" localSheetId="6" hidden="1">{"'gráf jan00'!$A$1:$AK$41"}</definedName>
    <definedName name="____ago5" localSheetId="7" hidden="1">{"'gráf jan00'!$A$1:$AK$41"}</definedName>
    <definedName name="____ago5" localSheetId="10" hidden="1">{"'gráf jan00'!$A$1:$AK$41"}</definedName>
    <definedName name="____ago5" localSheetId="11" hidden="1">{"'gráf jan00'!$A$1:$AK$41"}</definedName>
    <definedName name="____ago5" localSheetId="5" hidden="1">{"'gráf jan00'!$A$1:$AK$41"}</definedName>
    <definedName name="____ago5" localSheetId="4" hidden="1">{"'gráf jan00'!$A$1:$AK$41"}</definedName>
    <definedName name="____ago5" hidden="1">{"'gráf jan00'!$A$1:$AK$41"}</definedName>
    <definedName name="____ago6" localSheetId="3" hidden="1">{"'gráf jan00'!$A$1:$AK$41"}</definedName>
    <definedName name="____ago6" localSheetId="6" hidden="1">{"'gráf jan00'!$A$1:$AK$41"}</definedName>
    <definedName name="____ago6" localSheetId="7" hidden="1">{"'gráf jan00'!$A$1:$AK$41"}</definedName>
    <definedName name="____ago6" localSheetId="10" hidden="1">{"'gráf jan00'!$A$1:$AK$41"}</definedName>
    <definedName name="____ago6" localSheetId="11" hidden="1">{"'gráf jan00'!$A$1:$AK$41"}</definedName>
    <definedName name="____ago6" localSheetId="5" hidden="1">{"'gráf jan00'!$A$1:$AK$41"}</definedName>
    <definedName name="____ago6" localSheetId="4" hidden="1">{"'gráf jan00'!$A$1:$AK$41"}</definedName>
    <definedName name="____ago6" hidden="1">{"'gráf jan00'!$A$1:$AK$41"}</definedName>
    <definedName name="____ago7" localSheetId="3" hidden="1">{"'gráf jan00'!$A$1:$AK$41"}</definedName>
    <definedName name="____ago7" localSheetId="6" hidden="1">{"'gráf jan00'!$A$1:$AK$41"}</definedName>
    <definedName name="____ago7" localSheetId="7" hidden="1">{"'gráf jan00'!$A$1:$AK$41"}</definedName>
    <definedName name="____ago7" localSheetId="10" hidden="1">{"'gráf jan00'!$A$1:$AK$41"}</definedName>
    <definedName name="____ago7" localSheetId="11" hidden="1">{"'gráf jan00'!$A$1:$AK$41"}</definedName>
    <definedName name="____ago7" localSheetId="5" hidden="1">{"'gráf jan00'!$A$1:$AK$41"}</definedName>
    <definedName name="____ago7" localSheetId="4" hidden="1">{"'gráf jan00'!$A$1:$AK$41"}</definedName>
    <definedName name="____ago7" hidden="1">{"'gráf jan00'!$A$1:$AK$41"}</definedName>
    <definedName name="____ago8" localSheetId="3" hidden="1">{"'gráf jan00'!$A$1:$AK$41"}</definedName>
    <definedName name="____ago8" localSheetId="6" hidden="1">{"'gráf jan00'!$A$1:$AK$41"}</definedName>
    <definedName name="____ago8" localSheetId="7" hidden="1">{"'gráf jan00'!$A$1:$AK$41"}</definedName>
    <definedName name="____ago8" localSheetId="10" hidden="1">{"'gráf jan00'!$A$1:$AK$41"}</definedName>
    <definedName name="____ago8" localSheetId="11" hidden="1">{"'gráf jan00'!$A$1:$AK$41"}</definedName>
    <definedName name="____ago8" localSheetId="5" hidden="1">{"'gráf jan00'!$A$1:$AK$41"}</definedName>
    <definedName name="____ago8" localSheetId="4" hidden="1">{"'gráf jan00'!$A$1:$AK$41"}</definedName>
    <definedName name="____ago8" hidden="1">{"'gráf jan00'!$A$1:$AK$41"}</definedName>
    <definedName name="____ago9" localSheetId="3" hidden="1">{"'gráf jan00'!$A$1:$AK$41"}</definedName>
    <definedName name="____ago9" localSheetId="6" hidden="1">{"'gráf jan00'!$A$1:$AK$41"}</definedName>
    <definedName name="____ago9" localSheetId="7" hidden="1">{"'gráf jan00'!$A$1:$AK$41"}</definedName>
    <definedName name="____ago9" localSheetId="10" hidden="1">{"'gráf jan00'!$A$1:$AK$41"}</definedName>
    <definedName name="____ago9" localSheetId="11" hidden="1">{"'gráf jan00'!$A$1:$AK$41"}</definedName>
    <definedName name="____ago9" localSheetId="5" hidden="1">{"'gráf jan00'!$A$1:$AK$41"}</definedName>
    <definedName name="____ago9" localSheetId="4" hidden="1">{"'gráf jan00'!$A$1:$AK$41"}</definedName>
    <definedName name="____ago9" hidden="1">{"'gráf jan00'!$A$1:$AK$41"}</definedName>
    <definedName name="____ago99999" localSheetId="3" hidden="1">{"'gráf jan00'!$A$1:$AK$41"}</definedName>
    <definedName name="____ago99999" localSheetId="6" hidden="1">{"'gráf jan00'!$A$1:$AK$41"}</definedName>
    <definedName name="____ago99999" localSheetId="7" hidden="1">{"'gráf jan00'!$A$1:$AK$41"}</definedName>
    <definedName name="____ago99999" localSheetId="10" hidden="1">{"'gráf jan00'!$A$1:$AK$41"}</definedName>
    <definedName name="____ago99999" localSheetId="11" hidden="1">{"'gráf jan00'!$A$1:$AK$41"}</definedName>
    <definedName name="____ago99999" localSheetId="5" hidden="1">{"'gráf jan00'!$A$1:$AK$41"}</definedName>
    <definedName name="____ago99999" localSheetId="4" hidden="1">{"'gráf jan00'!$A$1:$AK$41"}</definedName>
    <definedName name="____ago99999" hidden="1">{"'gráf jan00'!$A$1:$AK$41"}</definedName>
    <definedName name="____DEF2" localSheetId="3" hidden="1">{#N/A,#N/A,FALSE,"DEF1";#N/A,#N/A,FALSE,"DEF2";#N/A,#N/A,FALSE,"DEF3"}</definedName>
    <definedName name="____DEF2" localSheetId="6" hidden="1">{#N/A,#N/A,FALSE,"DEF1";#N/A,#N/A,FALSE,"DEF2";#N/A,#N/A,FALSE,"DEF3"}</definedName>
    <definedName name="____DEF2" localSheetId="7" hidden="1">{#N/A,#N/A,FALSE,"DEF1";#N/A,#N/A,FALSE,"DEF2";#N/A,#N/A,FALSE,"DEF3"}</definedName>
    <definedName name="____DEF2" localSheetId="10" hidden="1">{#N/A,#N/A,FALSE,"DEF1";#N/A,#N/A,FALSE,"DEF2";#N/A,#N/A,FALSE,"DEF3"}</definedName>
    <definedName name="____DEF2" localSheetId="11" hidden="1">{#N/A,#N/A,FALSE,"DEF1";#N/A,#N/A,FALSE,"DEF2";#N/A,#N/A,FALSE,"DEF3"}</definedName>
    <definedName name="____DEF2" localSheetId="5" hidden="1">{#N/A,#N/A,FALSE,"DEF1";#N/A,#N/A,FALSE,"DEF2";#N/A,#N/A,FALSE,"DEF3"}</definedName>
    <definedName name="____DEF2" localSheetId="4" hidden="1">{#N/A,#N/A,FALSE,"DEF1";#N/A,#N/A,FALSE,"DEF2";#N/A,#N/A,FALSE,"DEF3"}</definedName>
    <definedName name="____DEF2" hidden="1">{#N/A,#N/A,FALSE,"DEF1";#N/A,#N/A,FALSE,"DEF2";#N/A,#N/A,FALSE,"DEF3"}</definedName>
    <definedName name="____DEF3" localSheetId="3" hidden="1">{#N/A,#N/A,FALSE,"DEF1";#N/A,#N/A,FALSE,"DEF2";#N/A,#N/A,FALSE,"DEF3"}</definedName>
    <definedName name="____DEF3" localSheetId="6" hidden="1">{#N/A,#N/A,FALSE,"DEF1";#N/A,#N/A,FALSE,"DEF2";#N/A,#N/A,FALSE,"DEF3"}</definedName>
    <definedName name="____DEF3" localSheetId="7" hidden="1">{#N/A,#N/A,FALSE,"DEF1";#N/A,#N/A,FALSE,"DEF2";#N/A,#N/A,FALSE,"DEF3"}</definedName>
    <definedName name="____DEF3" localSheetId="10" hidden="1">{#N/A,#N/A,FALSE,"DEF1";#N/A,#N/A,FALSE,"DEF2";#N/A,#N/A,FALSE,"DEF3"}</definedName>
    <definedName name="____DEF3" localSheetId="11" hidden="1">{#N/A,#N/A,FALSE,"DEF1";#N/A,#N/A,FALSE,"DEF2";#N/A,#N/A,FALSE,"DEF3"}</definedName>
    <definedName name="____DEF3" localSheetId="5" hidden="1">{#N/A,#N/A,FALSE,"DEF1";#N/A,#N/A,FALSE,"DEF2";#N/A,#N/A,FALSE,"DEF3"}</definedName>
    <definedName name="____DEF3" localSheetId="4" hidden="1">{#N/A,#N/A,FALSE,"DEF1";#N/A,#N/A,FALSE,"DEF2";#N/A,#N/A,FALSE,"DEF3"}</definedName>
    <definedName name="____DEF3" hidden="1">{#N/A,#N/A,FALSE,"DEF1";#N/A,#N/A,FALSE,"DEF2";#N/A,#N/A,FALSE,"DEF3"}</definedName>
    <definedName name="____efc10" localSheetId="3" hidden="1">{"'RR'!$A$2:$E$81"}</definedName>
    <definedName name="____efc10" localSheetId="6" hidden="1">{"'RR'!$A$2:$E$81"}</definedName>
    <definedName name="____efc10" localSheetId="7" hidden="1">{"'RR'!$A$2:$E$81"}</definedName>
    <definedName name="____efc10" localSheetId="10" hidden="1">{"'RR'!$A$2:$E$81"}</definedName>
    <definedName name="____efc10" localSheetId="11" hidden="1">{"'RR'!$A$2:$E$81"}</definedName>
    <definedName name="____efc10" localSheetId="5" hidden="1">{"'RR'!$A$2:$E$81"}</definedName>
    <definedName name="____efc10" localSheetId="4" hidden="1">{"'RR'!$A$2:$E$81"}</definedName>
    <definedName name="____efc10" hidden="1">{"'RR'!$A$2:$E$81"}</definedName>
    <definedName name="____EFC2" localSheetId="3" hidden="1">{"'RR'!$A$2:$E$81"}</definedName>
    <definedName name="____EFC2" localSheetId="6" hidden="1">{"'RR'!$A$2:$E$81"}</definedName>
    <definedName name="____EFC2" localSheetId="7" hidden="1">{"'RR'!$A$2:$E$81"}</definedName>
    <definedName name="____EFC2" localSheetId="10" hidden="1">{"'RR'!$A$2:$E$81"}</definedName>
    <definedName name="____EFC2" localSheetId="11" hidden="1">{"'RR'!$A$2:$E$81"}</definedName>
    <definedName name="____EFC2" localSheetId="5" hidden="1">{"'RR'!$A$2:$E$81"}</definedName>
    <definedName name="____EFC2" localSheetId="4" hidden="1">{"'RR'!$A$2:$E$81"}</definedName>
    <definedName name="____EFC2" hidden="1">{"'RR'!$A$2:$E$81"}</definedName>
    <definedName name="____EFC3" localSheetId="3" hidden="1">{"'RR'!$A$2:$E$81"}</definedName>
    <definedName name="____EFC3" localSheetId="6" hidden="1">{"'RR'!$A$2:$E$81"}</definedName>
    <definedName name="____EFC3" localSheetId="7" hidden="1">{"'RR'!$A$2:$E$81"}</definedName>
    <definedName name="____EFC3" localSheetId="10" hidden="1">{"'RR'!$A$2:$E$81"}</definedName>
    <definedName name="____EFC3" localSheetId="11" hidden="1">{"'RR'!$A$2:$E$81"}</definedName>
    <definedName name="____EFC3" localSheetId="5" hidden="1">{"'RR'!$A$2:$E$81"}</definedName>
    <definedName name="____EFC3" localSheetId="4" hidden="1">{"'RR'!$A$2:$E$81"}</definedName>
    <definedName name="____EFC3" hidden="1">{"'RR'!$A$2:$E$81"}</definedName>
    <definedName name="____EFC4" localSheetId="3" hidden="1">{"'RR'!$A$2:$E$81"}</definedName>
    <definedName name="____EFC4" localSheetId="6" hidden="1">{"'RR'!$A$2:$E$81"}</definedName>
    <definedName name="____EFC4" localSheetId="7" hidden="1">{"'RR'!$A$2:$E$81"}</definedName>
    <definedName name="____EFC4" localSheetId="10" hidden="1">{"'RR'!$A$2:$E$81"}</definedName>
    <definedName name="____EFC4" localSheetId="11" hidden="1">{"'RR'!$A$2:$E$81"}</definedName>
    <definedName name="____EFC4" localSheetId="5" hidden="1">{"'RR'!$A$2:$E$81"}</definedName>
    <definedName name="____EFC4" localSheetId="4" hidden="1">{"'RR'!$A$2:$E$81"}</definedName>
    <definedName name="____EFC4" hidden="1">{"'RR'!$A$2:$E$81"}</definedName>
    <definedName name="____ffp16" localSheetId="3" hidden="1">{"'gráf jan00'!$A$1:$AK$41"}</definedName>
    <definedName name="____ffp16" localSheetId="6" hidden="1">{"'gráf jan00'!$A$1:$AK$41"}</definedName>
    <definedName name="____ffp16" localSheetId="7" hidden="1">{"'gráf jan00'!$A$1:$AK$41"}</definedName>
    <definedName name="____ffp16" localSheetId="10" hidden="1">{"'gráf jan00'!$A$1:$AK$41"}</definedName>
    <definedName name="____ffp16" localSheetId="11" hidden="1">{"'gráf jan00'!$A$1:$AK$41"}</definedName>
    <definedName name="____ffp16" localSheetId="5" hidden="1">{"'gráf jan00'!$A$1:$AK$41"}</definedName>
    <definedName name="____ffp16" localSheetId="4" hidden="1">{"'gráf jan00'!$A$1:$AK$41"}</definedName>
    <definedName name="____ffp16" hidden="1">{"'gráf jan00'!$A$1:$AK$41"}</definedName>
    <definedName name="____ffp4589" localSheetId="3" hidden="1">{"'gráf jan00'!$A$1:$AK$41"}</definedName>
    <definedName name="____ffp4589" localSheetId="6" hidden="1">{"'gráf jan00'!$A$1:$AK$41"}</definedName>
    <definedName name="____ffp4589" localSheetId="7" hidden="1">{"'gráf jan00'!$A$1:$AK$41"}</definedName>
    <definedName name="____ffp4589" localSheetId="10" hidden="1">{"'gráf jan00'!$A$1:$AK$41"}</definedName>
    <definedName name="____ffp4589" localSheetId="11" hidden="1">{"'gráf jan00'!$A$1:$AK$41"}</definedName>
    <definedName name="____ffp4589" localSheetId="5" hidden="1">{"'gráf jan00'!$A$1:$AK$41"}</definedName>
    <definedName name="____ffp4589" localSheetId="4" hidden="1">{"'gráf jan00'!$A$1:$AK$41"}</definedName>
    <definedName name="____ffp4589" hidden="1">{"'gráf jan00'!$A$1:$AK$41"}</definedName>
    <definedName name="____jun04" localSheetId="3" hidden="1">{"'gráf jan00'!$A$1:$AK$41"}</definedName>
    <definedName name="____jun04" localSheetId="6" hidden="1">{"'gráf jan00'!$A$1:$AK$41"}</definedName>
    <definedName name="____jun04" localSheetId="7" hidden="1">{"'gráf jan00'!$A$1:$AK$41"}</definedName>
    <definedName name="____jun04" localSheetId="10" hidden="1">{"'gráf jan00'!$A$1:$AK$41"}</definedName>
    <definedName name="____jun04" localSheetId="11" hidden="1">{"'gráf jan00'!$A$1:$AK$41"}</definedName>
    <definedName name="____jun04" localSheetId="5" hidden="1">{"'gráf jan00'!$A$1:$AK$41"}</definedName>
    <definedName name="____jun04" localSheetId="4" hidden="1">{"'gráf jan00'!$A$1:$AK$41"}</definedName>
    <definedName name="____jun04" hidden="1">{"'gráf jan00'!$A$1:$AK$41"}</definedName>
    <definedName name="____MOA1" localSheetId="3" hidden="1">{#N/A,#N/A,FALSE,"DEF1";#N/A,#N/A,FALSE,"DEF2";#N/A,#N/A,FALSE,"DEF3"}</definedName>
    <definedName name="____MOA1" localSheetId="6" hidden="1">{#N/A,#N/A,FALSE,"DEF1";#N/A,#N/A,FALSE,"DEF2";#N/A,#N/A,FALSE,"DEF3"}</definedName>
    <definedName name="____MOA1" localSheetId="7" hidden="1">{#N/A,#N/A,FALSE,"DEF1";#N/A,#N/A,FALSE,"DEF2";#N/A,#N/A,FALSE,"DEF3"}</definedName>
    <definedName name="____MOA1" localSheetId="10" hidden="1">{#N/A,#N/A,FALSE,"DEF1";#N/A,#N/A,FALSE,"DEF2";#N/A,#N/A,FALSE,"DEF3"}</definedName>
    <definedName name="____MOA1" localSheetId="11" hidden="1">{#N/A,#N/A,FALSE,"DEF1";#N/A,#N/A,FALSE,"DEF2";#N/A,#N/A,FALSE,"DEF3"}</definedName>
    <definedName name="____MOA1" localSheetId="5" hidden="1">{#N/A,#N/A,FALSE,"DEF1";#N/A,#N/A,FALSE,"DEF2";#N/A,#N/A,FALSE,"DEF3"}</definedName>
    <definedName name="____MOA1" localSheetId="4" hidden="1">{#N/A,#N/A,FALSE,"DEF1";#N/A,#N/A,FALSE,"DEF2";#N/A,#N/A,FALSE,"DEF3"}</definedName>
    <definedName name="____MOA1" hidden="1">{#N/A,#N/A,FALSE,"DEF1";#N/A,#N/A,FALSE,"DEF2";#N/A,#N/A,FALSE,"DEF3"}</definedName>
    <definedName name="____MOA2" localSheetId="3" hidden="1">{#N/A,#N/A,FALSE,"DEF1";#N/A,#N/A,FALSE,"DEF2";#N/A,#N/A,FALSE,"DEF3"}</definedName>
    <definedName name="____MOA2" localSheetId="6" hidden="1">{#N/A,#N/A,FALSE,"DEF1";#N/A,#N/A,FALSE,"DEF2";#N/A,#N/A,FALSE,"DEF3"}</definedName>
    <definedName name="____MOA2" localSheetId="7" hidden="1">{#N/A,#N/A,FALSE,"DEF1";#N/A,#N/A,FALSE,"DEF2";#N/A,#N/A,FALSE,"DEF3"}</definedName>
    <definedName name="____MOA2" localSheetId="10" hidden="1">{#N/A,#N/A,FALSE,"DEF1";#N/A,#N/A,FALSE,"DEF2";#N/A,#N/A,FALSE,"DEF3"}</definedName>
    <definedName name="____MOA2" localSheetId="11" hidden="1">{#N/A,#N/A,FALSE,"DEF1";#N/A,#N/A,FALSE,"DEF2";#N/A,#N/A,FALSE,"DEF3"}</definedName>
    <definedName name="____MOA2" localSheetId="5" hidden="1">{#N/A,#N/A,FALSE,"DEF1";#N/A,#N/A,FALSE,"DEF2";#N/A,#N/A,FALSE,"DEF3"}</definedName>
    <definedName name="____MOA2" localSheetId="4" hidden="1">{#N/A,#N/A,FALSE,"DEF1";#N/A,#N/A,FALSE,"DEF2";#N/A,#N/A,FALSE,"DEF3"}</definedName>
    <definedName name="____MOA2" hidden="1">{#N/A,#N/A,FALSE,"DEF1";#N/A,#N/A,FALSE,"DEF2";#N/A,#N/A,FALSE,"DEF3"}</definedName>
    <definedName name="____n2" localSheetId="3" hidden="1">{#N/A,#N/A,FALSE,"PCOL"}</definedName>
    <definedName name="____n2" localSheetId="6" hidden="1">{#N/A,#N/A,FALSE,"PCOL"}</definedName>
    <definedName name="____n2" localSheetId="7" hidden="1">{#N/A,#N/A,FALSE,"PCOL"}</definedName>
    <definedName name="____n2" localSheetId="10" hidden="1">{#N/A,#N/A,FALSE,"PCOL"}</definedName>
    <definedName name="____n2" localSheetId="11" hidden="1">{#N/A,#N/A,FALSE,"PCOL"}</definedName>
    <definedName name="____n2" localSheetId="5" hidden="1">{#N/A,#N/A,FALSE,"PCOL"}</definedName>
    <definedName name="____n2" localSheetId="4" hidden="1">{#N/A,#N/A,FALSE,"PCOL"}</definedName>
    <definedName name="____n2" hidden="1">{#N/A,#N/A,FALSE,"PCOL"}</definedName>
    <definedName name="____PN10" localSheetId="3" hidden="1">{"'gráf jan00'!$A$1:$AK$41"}</definedName>
    <definedName name="____PN10" localSheetId="6" hidden="1">{"'gráf jan00'!$A$1:$AK$41"}</definedName>
    <definedName name="____PN10" localSheetId="7" hidden="1">{"'gráf jan00'!$A$1:$AK$41"}</definedName>
    <definedName name="____PN10" localSheetId="10" hidden="1">{"'gráf jan00'!$A$1:$AK$41"}</definedName>
    <definedName name="____PN10" localSheetId="11" hidden="1">{"'gráf jan00'!$A$1:$AK$41"}</definedName>
    <definedName name="____PN10" localSheetId="5" hidden="1">{"'gráf jan00'!$A$1:$AK$41"}</definedName>
    <definedName name="____PN10" localSheetId="4" hidden="1">{"'gráf jan00'!$A$1:$AK$41"}</definedName>
    <definedName name="____PN10" hidden="1">{"'gráf jan00'!$A$1:$AK$41"}</definedName>
    <definedName name="___a999" localSheetId="3" hidden="1">{#N/A,#N/A,FALSE,"ANEXO3 99 ERA";#N/A,#N/A,FALSE,"ANEXO3 99 UBÁ2";#N/A,#N/A,FALSE,"ANEXO3 99 DTU";#N/A,#N/A,FALSE,"ANEXO3 99 RDR";#N/A,#N/A,FALSE,"ANEXO3 99 UBÁ4";#N/A,#N/A,FALSE,"ANEXO3 99 UBÁ6"}</definedName>
    <definedName name="___a999" localSheetId="6" hidden="1">{#N/A,#N/A,FALSE,"ANEXO3 99 ERA";#N/A,#N/A,FALSE,"ANEXO3 99 UBÁ2";#N/A,#N/A,FALSE,"ANEXO3 99 DTU";#N/A,#N/A,FALSE,"ANEXO3 99 RDR";#N/A,#N/A,FALSE,"ANEXO3 99 UBÁ4";#N/A,#N/A,FALSE,"ANEXO3 99 UBÁ6"}</definedName>
    <definedName name="___a999" localSheetId="7" hidden="1">{#N/A,#N/A,FALSE,"ANEXO3 99 ERA";#N/A,#N/A,FALSE,"ANEXO3 99 UBÁ2";#N/A,#N/A,FALSE,"ANEXO3 99 DTU";#N/A,#N/A,FALSE,"ANEXO3 99 RDR";#N/A,#N/A,FALSE,"ANEXO3 99 UBÁ4";#N/A,#N/A,FALSE,"ANEXO3 99 UBÁ6"}</definedName>
    <definedName name="___a999" localSheetId="10" hidden="1">{#N/A,#N/A,FALSE,"ANEXO3 99 ERA";#N/A,#N/A,FALSE,"ANEXO3 99 UBÁ2";#N/A,#N/A,FALSE,"ANEXO3 99 DTU";#N/A,#N/A,FALSE,"ANEXO3 99 RDR";#N/A,#N/A,FALSE,"ANEXO3 99 UBÁ4";#N/A,#N/A,FALSE,"ANEXO3 99 UBÁ6"}</definedName>
    <definedName name="___a999" localSheetId="11" hidden="1">{#N/A,#N/A,FALSE,"ANEXO3 99 ERA";#N/A,#N/A,FALSE,"ANEXO3 99 UBÁ2";#N/A,#N/A,FALSE,"ANEXO3 99 DTU";#N/A,#N/A,FALSE,"ANEXO3 99 RDR";#N/A,#N/A,FALSE,"ANEXO3 99 UBÁ4";#N/A,#N/A,FALSE,"ANEXO3 99 UBÁ6"}</definedName>
    <definedName name="___a999" localSheetId="5" hidden="1">{#N/A,#N/A,FALSE,"ANEXO3 99 ERA";#N/A,#N/A,FALSE,"ANEXO3 99 UBÁ2";#N/A,#N/A,FALSE,"ANEXO3 99 DTU";#N/A,#N/A,FALSE,"ANEXO3 99 RDR";#N/A,#N/A,FALSE,"ANEXO3 99 UBÁ4";#N/A,#N/A,FALSE,"ANEXO3 99 UBÁ6"}</definedName>
    <definedName name="___a999" localSheetId="4" hidden="1">{#N/A,#N/A,FALSE,"ANEXO3 99 ERA";#N/A,#N/A,FALSE,"ANEXO3 99 UBÁ2";#N/A,#N/A,FALSE,"ANEXO3 99 DTU";#N/A,#N/A,FALSE,"ANEXO3 99 RDR";#N/A,#N/A,FALSE,"ANEXO3 99 UBÁ4";#N/A,#N/A,FALSE,"ANEXO3 99 UBÁ6"}</definedName>
    <definedName name="___a999" hidden="1">{#N/A,#N/A,FALSE,"ANEXO3 99 ERA";#N/A,#N/A,FALSE,"ANEXO3 99 UBÁ2";#N/A,#N/A,FALSE,"ANEXO3 99 DTU";#N/A,#N/A,FALSE,"ANEXO3 99 RDR";#N/A,#N/A,FALSE,"ANEXO3 99 UBÁ4";#N/A,#N/A,FALSE,"ANEXO3 99 UBÁ6"}</definedName>
    <definedName name="___adm1" localSheetId="3" hidden="1">{"'Índice'!$A$1:$K$49"}</definedName>
    <definedName name="___adm1" localSheetId="6" hidden="1">{"'Índice'!$A$1:$K$49"}</definedName>
    <definedName name="___adm1" localSheetId="7" hidden="1">{"'Índice'!$A$1:$K$49"}</definedName>
    <definedName name="___adm1" localSheetId="10" hidden="1">{"'Índice'!$A$1:$K$49"}</definedName>
    <definedName name="___adm1" localSheetId="11" hidden="1">{"'Índice'!$A$1:$K$49"}</definedName>
    <definedName name="___adm1" localSheetId="5" hidden="1">{"'Índice'!$A$1:$K$49"}</definedName>
    <definedName name="___adm1" localSheetId="4" hidden="1">{"'Índice'!$A$1:$K$49"}</definedName>
    <definedName name="___adm1" hidden="1">{"'Índice'!$A$1:$K$49"}</definedName>
    <definedName name="___adm2" localSheetId="3" hidden="1">{"VENTAS1",#N/A,FALSE,"VENTAS";"VENTAS2",#N/A,FALSE,"VENTAS";"VENTAS3",#N/A,FALSE,"VENTAS";"VENTAS4",#N/A,FALSE,"VENTAS";"VENTAS5",#N/A,FALSE,"VENTAS";"VENTAS6",#N/A,FALSE,"VENTAS";"VENTAS7",#N/A,FALSE,"VENTAS";"VENTAS8",#N/A,FALSE,"VENTAS"}</definedName>
    <definedName name="___adm2" localSheetId="6" hidden="1">{"VENTAS1",#N/A,FALSE,"VENTAS";"VENTAS2",#N/A,FALSE,"VENTAS";"VENTAS3",#N/A,FALSE,"VENTAS";"VENTAS4",#N/A,FALSE,"VENTAS";"VENTAS5",#N/A,FALSE,"VENTAS";"VENTAS6",#N/A,FALSE,"VENTAS";"VENTAS7",#N/A,FALSE,"VENTAS";"VENTAS8",#N/A,FALSE,"VENTAS"}</definedName>
    <definedName name="___adm2" localSheetId="7" hidden="1">{"VENTAS1",#N/A,FALSE,"VENTAS";"VENTAS2",#N/A,FALSE,"VENTAS";"VENTAS3",#N/A,FALSE,"VENTAS";"VENTAS4",#N/A,FALSE,"VENTAS";"VENTAS5",#N/A,FALSE,"VENTAS";"VENTAS6",#N/A,FALSE,"VENTAS";"VENTAS7",#N/A,FALSE,"VENTAS";"VENTAS8",#N/A,FALSE,"VENTAS"}</definedName>
    <definedName name="___adm2" localSheetId="10" hidden="1">{"VENTAS1",#N/A,FALSE,"VENTAS";"VENTAS2",#N/A,FALSE,"VENTAS";"VENTAS3",#N/A,FALSE,"VENTAS";"VENTAS4",#N/A,FALSE,"VENTAS";"VENTAS5",#N/A,FALSE,"VENTAS";"VENTAS6",#N/A,FALSE,"VENTAS";"VENTAS7",#N/A,FALSE,"VENTAS";"VENTAS8",#N/A,FALSE,"VENTAS"}</definedName>
    <definedName name="___adm2" localSheetId="11" hidden="1">{"VENTAS1",#N/A,FALSE,"VENTAS";"VENTAS2",#N/A,FALSE,"VENTAS";"VENTAS3",#N/A,FALSE,"VENTAS";"VENTAS4",#N/A,FALSE,"VENTAS";"VENTAS5",#N/A,FALSE,"VENTAS";"VENTAS6",#N/A,FALSE,"VENTAS";"VENTAS7",#N/A,FALSE,"VENTAS";"VENTAS8",#N/A,FALSE,"VENTAS"}</definedName>
    <definedName name="___adm2" localSheetId="5" hidden="1">{"VENTAS1",#N/A,FALSE,"VENTAS";"VENTAS2",#N/A,FALSE,"VENTAS";"VENTAS3",#N/A,FALSE,"VENTAS";"VENTAS4",#N/A,FALSE,"VENTAS";"VENTAS5",#N/A,FALSE,"VENTAS";"VENTAS6",#N/A,FALSE,"VENTAS";"VENTAS7",#N/A,FALSE,"VENTAS";"VENTAS8",#N/A,FALSE,"VENTAS"}</definedName>
    <definedName name="___adm2" localSheetId="4" hidden="1">{"VENTAS1",#N/A,FALSE,"VENTAS";"VENTAS2",#N/A,FALSE,"VENTAS";"VENTAS3",#N/A,FALSE,"VENTAS";"VENTAS4",#N/A,FALSE,"VENTAS";"VENTAS5",#N/A,FALSE,"VENTAS";"VENTAS6",#N/A,FALSE,"VENTAS";"VENTAS7",#N/A,FALSE,"VENTAS";"VENTAS8",#N/A,FALSE,"VENTAS"}</definedName>
    <definedName name="___adm2" hidden="1">{"VENTAS1",#N/A,FALSE,"VENTAS";"VENTAS2",#N/A,FALSE,"VENTAS";"VENTAS3",#N/A,FALSE,"VENTAS";"VENTAS4",#N/A,FALSE,"VENTAS";"VENTAS5",#N/A,FALSE,"VENTAS";"VENTAS6",#N/A,FALSE,"VENTAS";"VENTAS7",#N/A,FALSE,"VENTAS";"VENTAS8",#N/A,FALSE,"VENTAS"}</definedName>
    <definedName name="___ago1" localSheetId="3" hidden="1">{"'gráf jan00'!$A$1:$AK$41"}</definedName>
    <definedName name="___ago1" localSheetId="6" hidden="1">{"'gráf jan00'!$A$1:$AK$41"}</definedName>
    <definedName name="___ago1" localSheetId="7" hidden="1">{"'gráf jan00'!$A$1:$AK$41"}</definedName>
    <definedName name="___ago1" localSheetId="10" hidden="1">{"'gráf jan00'!$A$1:$AK$41"}</definedName>
    <definedName name="___ago1" localSheetId="11" hidden="1">{"'gráf jan00'!$A$1:$AK$41"}</definedName>
    <definedName name="___ago1" localSheetId="5" hidden="1">{"'gráf jan00'!$A$1:$AK$41"}</definedName>
    <definedName name="___ago1" localSheetId="4" hidden="1">{"'gráf jan00'!$A$1:$AK$41"}</definedName>
    <definedName name="___ago1" hidden="1">{"'gráf jan00'!$A$1:$AK$41"}</definedName>
    <definedName name="___ago10" localSheetId="3" hidden="1">{"'gráf jan00'!$A$1:$AK$41"}</definedName>
    <definedName name="___ago10" localSheetId="6" hidden="1">{"'gráf jan00'!$A$1:$AK$41"}</definedName>
    <definedName name="___ago10" localSheetId="7" hidden="1">{"'gráf jan00'!$A$1:$AK$41"}</definedName>
    <definedName name="___ago10" localSheetId="10" hidden="1">{"'gráf jan00'!$A$1:$AK$41"}</definedName>
    <definedName name="___ago10" localSheetId="11" hidden="1">{"'gráf jan00'!$A$1:$AK$41"}</definedName>
    <definedName name="___ago10" localSheetId="5" hidden="1">{"'gráf jan00'!$A$1:$AK$41"}</definedName>
    <definedName name="___ago10" localSheetId="4" hidden="1">{"'gráf jan00'!$A$1:$AK$41"}</definedName>
    <definedName name="___ago10" hidden="1">{"'gráf jan00'!$A$1:$AK$41"}</definedName>
    <definedName name="___ago2" localSheetId="3" hidden="1">{"'gráf jan00'!$A$1:$AK$41"}</definedName>
    <definedName name="___ago2" localSheetId="6" hidden="1">{"'gráf jan00'!$A$1:$AK$41"}</definedName>
    <definedName name="___ago2" localSheetId="7" hidden="1">{"'gráf jan00'!$A$1:$AK$41"}</definedName>
    <definedName name="___ago2" localSheetId="10" hidden="1">{"'gráf jan00'!$A$1:$AK$41"}</definedName>
    <definedName name="___ago2" localSheetId="11" hidden="1">{"'gráf jan00'!$A$1:$AK$41"}</definedName>
    <definedName name="___ago2" localSheetId="5" hidden="1">{"'gráf jan00'!$A$1:$AK$41"}</definedName>
    <definedName name="___ago2" localSheetId="4" hidden="1">{"'gráf jan00'!$A$1:$AK$41"}</definedName>
    <definedName name="___ago2" hidden="1">{"'gráf jan00'!$A$1:$AK$41"}</definedName>
    <definedName name="___ago3" localSheetId="3" hidden="1">{"'gráf jan00'!$A$1:$AK$41"}</definedName>
    <definedName name="___ago3" localSheetId="6" hidden="1">{"'gráf jan00'!$A$1:$AK$41"}</definedName>
    <definedName name="___ago3" localSheetId="7" hidden="1">{"'gráf jan00'!$A$1:$AK$41"}</definedName>
    <definedName name="___ago3" localSheetId="10" hidden="1">{"'gráf jan00'!$A$1:$AK$41"}</definedName>
    <definedName name="___ago3" localSheetId="11" hidden="1">{"'gráf jan00'!$A$1:$AK$41"}</definedName>
    <definedName name="___ago3" localSheetId="5" hidden="1">{"'gráf jan00'!$A$1:$AK$41"}</definedName>
    <definedName name="___ago3" localSheetId="4" hidden="1">{"'gráf jan00'!$A$1:$AK$41"}</definedName>
    <definedName name="___ago3" hidden="1">{"'gráf jan00'!$A$1:$AK$41"}</definedName>
    <definedName name="___ago4" localSheetId="3" hidden="1">{"'gráf jan00'!$A$1:$AK$41"}</definedName>
    <definedName name="___ago4" localSheetId="6" hidden="1">{"'gráf jan00'!$A$1:$AK$41"}</definedName>
    <definedName name="___ago4" localSheetId="7" hidden="1">{"'gráf jan00'!$A$1:$AK$41"}</definedName>
    <definedName name="___ago4" localSheetId="10" hidden="1">{"'gráf jan00'!$A$1:$AK$41"}</definedName>
    <definedName name="___ago4" localSheetId="11" hidden="1">{"'gráf jan00'!$A$1:$AK$41"}</definedName>
    <definedName name="___ago4" localSheetId="5" hidden="1">{"'gráf jan00'!$A$1:$AK$41"}</definedName>
    <definedName name="___ago4" localSheetId="4" hidden="1">{"'gráf jan00'!$A$1:$AK$41"}</definedName>
    <definedName name="___ago4" hidden="1">{"'gráf jan00'!$A$1:$AK$41"}</definedName>
    <definedName name="___ago5" localSheetId="3" hidden="1">{"'gráf jan00'!$A$1:$AK$41"}</definedName>
    <definedName name="___ago5" localSheetId="6" hidden="1">{"'gráf jan00'!$A$1:$AK$41"}</definedName>
    <definedName name="___ago5" localSheetId="7" hidden="1">{"'gráf jan00'!$A$1:$AK$41"}</definedName>
    <definedName name="___ago5" localSheetId="10" hidden="1">{"'gráf jan00'!$A$1:$AK$41"}</definedName>
    <definedName name="___ago5" localSheetId="11" hidden="1">{"'gráf jan00'!$A$1:$AK$41"}</definedName>
    <definedName name="___ago5" localSheetId="5" hidden="1">{"'gráf jan00'!$A$1:$AK$41"}</definedName>
    <definedName name="___ago5" localSheetId="4" hidden="1">{"'gráf jan00'!$A$1:$AK$41"}</definedName>
    <definedName name="___ago5" hidden="1">{"'gráf jan00'!$A$1:$AK$41"}</definedName>
    <definedName name="___ago6" localSheetId="3" hidden="1">{"'gráf jan00'!$A$1:$AK$41"}</definedName>
    <definedName name="___ago6" localSheetId="6" hidden="1">{"'gráf jan00'!$A$1:$AK$41"}</definedName>
    <definedName name="___ago6" localSheetId="7" hidden="1">{"'gráf jan00'!$A$1:$AK$41"}</definedName>
    <definedName name="___ago6" localSheetId="10" hidden="1">{"'gráf jan00'!$A$1:$AK$41"}</definedName>
    <definedName name="___ago6" localSheetId="11" hidden="1">{"'gráf jan00'!$A$1:$AK$41"}</definedName>
    <definedName name="___ago6" localSheetId="5" hidden="1">{"'gráf jan00'!$A$1:$AK$41"}</definedName>
    <definedName name="___ago6" localSheetId="4" hidden="1">{"'gráf jan00'!$A$1:$AK$41"}</definedName>
    <definedName name="___ago6" hidden="1">{"'gráf jan00'!$A$1:$AK$41"}</definedName>
    <definedName name="___ago7" localSheetId="3" hidden="1">{"'gráf jan00'!$A$1:$AK$41"}</definedName>
    <definedName name="___ago7" localSheetId="6" hidden="1">{"'gráf jan00'!$A$1:$AK$41"}</definedName>
    <definedName name="___ago7" localSheetId="7" hidden="1">{"'gráf jan00'!$A$1:$AK$41"}</definedName>
    <definedName name="___ago7" localSheetId="10" hidden="1">{"'gráf jan00'!$A$1:$AK$41"}</definedName>
    <definedName name="___ago7" localSheetId="11" hidden="1">{"'gráf jan00'!$A$1:$AK$41"}</definedName>
    <definedName name="___ago7" localSheetId="5" hidden="1">{"'gráf jan00'!$A$1:$AK$41"}</definedName>
    <definedName name="___ago7" localSheetId="4" hidden="1">{"'gráf jan00'!$A$1:$AK$41"}</definedName>
    <definedName name="___ago7" hidden="1">{"'gráf jan00'!$A$1:$AK$41"}</definedName>
    <definedName name="___ago8" localSheetId="3" hidden="1">{"'gráf jan00'!$A$1:$AK$41"}</definedName>
    <definedName name="___ago8" localSheetId="6" hidden="1">{"'gráf jan00'!$A$1:$AK$41"}</definedName>
    <definedName name="___ago8" localSheetId="7" hidden="1">{"'gráf jan00'!$A$1:$AK$41"}</definedName>
    <definedName name="___ago8" localSheetId="10" hidden="1">{"'gráf jan00'!$A$1:$AK$41"}</definedName>
    <definedName name="___ago8" localSheetId="11" hidden="1">{"'gráf jan00'!$A$1:$AK$41"}</definedName>
    <definedName name="___ago8" localSheetId="5" hidden="1">{"'gráf jan00'!$A$1:$AK$41"}</definedName>
    <definedName name="___ago8" localSheetId="4" hidden="1">{"'gráf jan00'!$A$1:$AK$41"}</definedName>
    <definedName name="___ago8" hidden="1">{"'gráf jan00'!$A$1:$AK$41"}</definedName>
    <definedName name="___ago9" localSheetId="3" hidden="1">{"'gráf jan00'!$A$1:$AK$41"}</definedName>
    <definedName name="___ago9" localSheetId="6" hidden="1">{"'gráf jan00'!$A$1:$AK$41"}</definedName>
    <definedName name="___ago9" localSheetId="7" hidden="1">{"'gráf jan00'!$A$1:$AK$41"}</definedName>
    <definedName name="___ago9" localSheetId="10" hidden="1">{"'gráf jan00'!$A$1:$AK$41"}</definedName>
    <definedName name="___ago9" localSheetId="11" hidden="1">{"'gráf jan00'!$A$1:$AK$41"}</definedName>
    <definedName name="___ago9" localSheetId="5" hidden="1">{"'gráf jan00'!$A$1:$AK$41"}</definedName>
    <definedName name="___ago9" localSheetId="4" hidden="1">{"'gráf jan00'!$A$1:$AK$41"}</definedName>
    <definedName name="___ago9" hidden="1">{"'gráf jan00'!$A$1:$AK$41"}</definedName>
    <definedName name="___ago99999" localSheetId="3" hidden="1">{"'gráf jan00'!$A$1:$AK$41"}</definedName>
    <definedName name="___ago99999" localSheetId="6" hidden="1">{"'gráf jan00'!$A$1:$AK$41"}</definedName>
    <definedName name="___ago99999" localSheetId="7" hidden="1">{"'gráf jan00'!$A$1:$AK$41"}</definedName>
    <definedName name="___ago99999" localSheetId="10" hidden="1">{"'gráf jan00'!$A$1:$AK$41"}</definedName>
    <definedName name="___ago99999" localSheetId="11" hidden="1">{"'gráf jan00'!$A$1:$AK$41"}</definedName>
    <definedName name="___ago99999" localSheetId="5" hidden="1">{"'gráf jan00'!$A$1:$AK$41"}</definedName>
    <definedName name="___ago99999" localSheetId="4" hidden="1">{"'gráf jan00'!$A$1:$AK$41"}</definedName>
    <definedName name="___ago99999" hidden="1">{"'gráf jan00'!$A$1:$AK$41"}</definedName>
    <definedName name="___DEF2" localSheetId="3" hidden="1">{#N/A,#N/A,FALSE,"DEF1";#N/A,#N/A,FALSE,"DEF2";#N/A,#N/A,FALSE,"DEF3"}</definedName>
    <definedName name="___DEF2" localSheetId="6" hidden="1">{#N/A,#N/A,FALSE,"DEF1";#N/A,#N/A,FALSE,"DEF2";#N/A,#N/A,FALSE,"DEF3"}</definedName>
    <definedName name="___DEF2" localSheetId="7" hidden="1">{#N/A,#N/A,FALSE,"DEF1";#N/A,#N/A,FALSE,"DEF2";#N/A,#N/A,FALSE,"DEF3"}</definedName>
    <definedName name="___DEF2" localSheetId="10" hidden="1">{#N/A,#N/A,FALSE,"DEF1";#N/A,#N/A,FALSE,"DEF2";#N/A,#N/A,FALSE,"DEF3"}</definedName>
    <definedName name="___DEF2" localSheetId="11" hidden="1">{#N/A,#N/A,FALSE,"DEF1";#N/A,#N/A,FALSE,"DEF2";#N/A,#N/A,FALSE,"DEF3"}</definedName>
    <definedName name="___DEF2" localSheetId="5" hidden="1">{#N/A,#N/A,FALSE,"DEF1";#N/A,#N/A,FALSE,"DEF2";#N/A,#N/A,FALSE,"DEF3"}</definedName>
    <definedName name="___DEF2" localSheetId="4" hidden="1">{#N/A,#N/A,FALSE,"DEF1";#N/A,#N/A,FALSE,"DEF2";#N/A,#N/A,FALSE,"DEF3"}</definedName>
    <definedName name="___DEF2" hidden="1">{#N/A,#N/A,FALSE,"DEF1";#N/A,#N/A,FALSE,"DEF2";#N/A,#N/A,FALSE,"DEF3"}</definedName>
    <definedName name="___DEF3" localSheetId="3" hidden="1">{#N/A,#N/A,FALSE,"DEF1";#N/A,#N/A,FALSE,"DEF2";#N/A,#N/A,FALSE,"DEF3"}</definedName>
    <definedName name="___DEF3" localSheetId="6" hidden="1">{#N/A,#N/A,FALSE,"DEF1";#N/A,#N/A,FALSE,"DEF2";#N/A,#N/A,FALSE,"DEF3"}</definedName>
    <definedName name="___DEF3" localSheetId="7" hidden="1">{#N/A,#N/A,FALSE,"DEF1";#N/A,#N/A,FALSE,"DEF2";#N/A,#N/A,FALSE,"DEF3"}</definedName>
    <definedName name="___DEF3" localSheetId="10" hidden="1">{#N/A,#N/A,FALSE,"DEF1";#N/A,#N/A,FALSE,"DEF2";#N/A,#N/A,FALSE,"DEF3"}</definedName>
    <definedName name="___DEF3" localSheetId="11" hidden="1">{#N/A,#N/A,FALSE,"DEF1";#N/A,#N/A,FALSE,"DEF2";#N/A,#N/A,FALSE,"DEF3"}</definedName>
    <definedName name="___DEF3" localSheetId="5" hidden="1">{#N/A,#N/A,FALSE,"DEF1";#N/A,#N/A,FALSE,"DEF2";#N/A,#N/A,FALSE,"DEF3"}</definedName>
    <definedName name="___DEF3" localSheetId="4" hidden="1">{#N/A,#N/A,FALSE,"DEF1";#N/A,#N/A,FALSE,"DEF2";#N/A,#N/A,FALSE,"DEF3"}</definedName>
    <definedName name="___DEF3" hidden="1">{#N/A,#N/A,FALSE,"DEF1";#N/A,#N/A,FALSE,"DEF2";#N/A,#N/A,FALSE,"DEF3"}</definedName>
    <definedName name="___DFG4" localSheetId="3"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_DFG4" localSheetId="6"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_DFG4" localSheetId="7"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_DFG4" localSheetId="10"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_DFG4" localSheetId="11"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_DFG4" localSheetId="5"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_DFG4" localSheetId="4"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_DFG4"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_efc10" localSheetId="3" hidden="1">{"'RR'!$A$2:$E$81"}</definedName>
    <definedName name="___efc10" localSheetId="6" hidden="1">{"'RR'!$A$2:$E$81"}</definedName>
    <definedName name="___efc10" localSheetId="7" hidden="1">{"'RR'!$A$2:$E$81"}</definedName>
    <definedName name="___efc10" localSheetId="10" hidden="1">{"'RR'!$A$2:$E$81"}</definedName>
    <definedName name="___efc10" localSheetId="11" hidden="1">{"'RR'!$A$2:$E$81"}</definedName>
    <definedName name="___efc10" localSheetId="5" hidden="1">{"'RR'!$A$2:$E$81"}</definedName>
    <definedName name="___efc10" localSheetId="4" hidden="1">{"'RR'!$A$2:$E$81"}</definedName>
    <definedName name="___efc10" hidden="1">{"'RR'!$A$2:$E$81"}</definedName>
    <definedName name="___EFC2" localSheetId="3" hidden="1">{"'RR'!$A$2:$E$81"}</definedName>
    <definedName name="___EFC2" localSheetId="6" hidden="1">{"'RR'!$A$2:$E$81"}</definedName>
    <definedName name="___EFC2" localSheetId="7" hidden="1">{"'RR'!$A$2:$E$81"}</definedName>
    <definedName name="___EFC2" localSheetId="10" hidden="1">{"'RR'!$A$2:$E$81"}</definedName>
    <definedName name="___EFC2" localSheetId="11" hidden="1">{"'RR'!$A$2:$E$81"}</definedName>
    <definedName name="___EFC2" localSheetId="5" hidden="1">{"'RR'!$A$2:$E$81"}</definedName>
    <definedName name="___EFC2" localSheetId="4" hidden="1">{"'RR'!$A$2:$E$81"}</definedName>
    <definedName name="___EFC2" hidden="1">{"'RR'!$A$2:$E$81"}</definedName>
    <definedName name="___EFC3" localSheetId="3" hidden="1">{"'RR'!$A$2:$E$81"}</definedName>
    <definedName name="___EFC3" localSheetId="6" hidden="1">{"'RR'!$A$2:$E$81"}</definedName>
    <definedName name="___EFC3" localSheetId="7" hidden="1">{"'RR'!$A$2:$E$81"}</definedName>
    <definedName name="___EFC3" localSheetId="10" hidden="1">{"'RR'!$A$2:$E$81"}</definedName>
    <definedName name="___EFC3" localSheetId="11" hidden="1">{"'RR'!$A$2:$E$81"}</definedName>
    <definedName name="___EFC3" localSheetId="5" hidden="1">{"'RR'!$A$2:$E$81"}</definedName>
    <definedName name="___EFC3" localSheetId="4" hidden="1">{"'RR'!$A$2:$E$81"}</definedName>
    <definedName name="___EFC3" hidden="1">{"'RR'!$A$2:$E$81"}</definedName>
    <definedName name="___EFC4" localSheetId="3" hidden="1">{"'RR'!$A$2:$E$81"}</definedName>
    <definedName name="___EFC4" localSheetId="6" hidden="1">{"'RR'!$A$2:$E$81"}</definedName>
    <definedName name="___EFC4" localSheetId="7" hidden="1">{"'RR'!$A$2:$E$81"}</definedName>
    <definedName name="___EFC4" localSheetId="10" hidden="1">{"'RR'!$A$2:$E$81"}</definedName>
    <definedName name="___EFC4" localSheetId="11" hidden="1">{"'RR'!$A$2:$E$81"}</definedName>
    <definedName name="___EFC4" localSheetId="5" hidden="1">{"'RR'!$A$2:$E$81"}</definedName>
    <definedName name="___EFC4" localSheetId="4" hidden="1">{"'RR'!$A$2:$E$81"}</definedName>
    <definedName name="___EFC4" hidden="1">{"'RR'!$A$2:$E$81"}</definedName>
    <definedName name="___ffp16" localSheetId="3" hidden="1">{"'gráf jan00'!$A$1:$AK$41"}</definedName>
    <definedName name="___ffp16" localSheetId="6" hidden="1">{"'gráf jan00'!$A$1:$AK$41"}</definedName>
    <definedName name="___ffp16" localSheetId="7" hidden="1">{"'gráf jan00'!$A$1:$AK$41"}</definedName>
    <definedName name="___ffp16" localSheetId="10" hidden="1">{"'gráf jan00'!$A$1:$AK$41"}</definedName>
    <definedName name="___ffp16" localSheetId="11" hidden="1">{"'gráf jan00'!$A$1:$AK$41"}</definedName>
    <definedName name="___ffp16" localSheetId="5" hidden="1">{"'gráf jan00'!$A$1:$AK$41"}</definedName>
    <definedName name="___ffp16" localSheetId="4" hidden="1">{"'gráf jan00'!$A$1:$AK$41"}</definedName>
    <definedName name="___ffp16" hidden="1">{"'gráf jan00'!$A$1:$AK$41"}</definedName>
    <definedName name="___ffp4589" localSheetId="3" hidden="1">{"'gráf jan00'!$A$1:$AK$41"}</definedName>
    <definedName name="___ffp4589" localSheetId="6" hidden="1">{"'gráf jan00'!$A$1:$AK$41"}</definedName>
    <definedName name="___ffp4589" localSheetId="7" hidden="1">{"'gráf jan00'!$A$1:$AK$41"}</definedName>
    <definedName name="___ffp4589" localSheetId="10" hidden="1">{"'gráf jan00'!$A$1:$AK$41"}</definedName>
    <definedName name="___ffp4589" localSheetId="11" hidden="1">{"'gráf jan00'!$A$1:$AK$41"}</definedName>
    <definedName name="___ffp4589" localSheetId="5" hidden="1">{"'gráf jan00'!$A$1:$AK$41"}</definedName>
    <definedName name="___ffp4589" localSheetId="4" hidden="1">{"'gráf jan00'!$A$1:$AK$41"}</definedName>
    <definedName name="___ffp4589" hidden="1">{"'gráf jan00'!$A$1:$AK$41"}</definedName>
    <definedName name="___JU7" localSheetId="3"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_JU7" localSheetId="6"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_JU7" localSheetId="7"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_JU7" localSheetId="10"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_JU7" localSheetId="11"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_JU7" localSheetId="5"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_JU7" localSheetId="4"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_JU7"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_jun04" localSheetId="3" hidden="1">{"'gráf jan00'!$A$1:$AK$41"}</definedName>
    <definedName name="___jun04" localSheetId="6" hidden="1">{"'gráf jan00'!$A$1:$AK$41"}</definedName>
    <definedName name="___jun04" localSheetId="7" hidden="1">{"'gráf jan00'!$A$1:$AK$41"}</definedName>
    <definedName name="___jun04" localSheetId="10" hidden="1">{"'gráf jan00'!$A$1:$AK$41"}</definedName>
    <definedName name="___jun04" localSheetId="11" hidden="1">{"'gráf jan00'!$A$1:$AK$41"}</definedName>
    <definedName name="___jun04" localSheetId="5" hidden="1">{"'gráf jan00'!$A$1:$AK$41"}</definedName>
    <definedName name="___jun04" localSheetId="4" hidden="1">{"'gráf jan00'!$A$1:$AK$41"}</definedName>
    <definedName name="___jun04" hidden="1">{"'gráf jan00'!$A$1:$AK$41"}</definedName>
    <definedName name="___kj14" localSheetId="3"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_kj14" localSheetId="6"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_kj14" localSheetId="7"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_kj14" localSheetId="10"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_kj14" localSheetId="11"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_kj14" localSheetId="5"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_kj14" localSheetId="4"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_kj14"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_kj16" localSheetId="3"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_kj16" localSheetId="6"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_kj16" localSheetId="7"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_kj16" localSheetId="10"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_kj16" localSheetId="11"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_kj16" localSheetId="5"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_kj16" localSheetId="4"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_kj16"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_kj8" localSheetId="3"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_kj8" localSheetId="6"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_kj8" localSheetId="7"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_kj8" localSheetId="10"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_kj8" localSheetId="11"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_kj8" localSheetId="5"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_kj8" localSheetId="4"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_kj8"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_MOA1" localSheetId="3" hidden="1">{#N/A,#N/A,FALSE,"DEF1";#N/A,#N/A,FALSE,"DEF2";#N/A,#N/A,FALSE,"DEF3"}</definedName>
    <definedName name="___MOA1" localSheetId="6" hidden="1">{#N/A,#N/A,FALSE,"DEF1";#N/A,#N/A,FALSE,"DEF2";#N/A,#N/A,FALSE,"DEF3"}</definedName>
    <definedName name="___MOA1" localSheetId="7" hidden="1">{#N/A,#N/A,FALSE,"DEF1";#N/A,#N/A,FALSE,"DEF2";#N/A,#N/A,FALSE,"DEF3"}</definedName>
    <definedName name="___MOA1" localSheetId="10" hidden="1">{#N/A,#N/A,FALSE,"DEF1";#N/A,#N/A,FALSE,"DEF2";#N/A,#N/A,FALSE,"DEF3"}</definedName>
    <definedName name="___MOA1" localSheetId="11" hidden="1">{#N/A,#N/A,FALSE,"DEF1";#N/A,#N/A,FALSE,"DEF2";#N/A,#N/A,FALSE,"DEF3"}</definedName>
    <definedName name="___MOA1" localSheetId="5" hidden="1">{#N/A,#N/A,FALSE,"DEF1";#N/A,#N/A,FALSE,"DEF2";#N/A,#N/A,FALSE,"DEF3"}</definedName>
    <definedName name="___MOA1" localSheetId="4" hidden="1">{#N/A,#N/A,FALSE,"DEF1";#N/A,#N/A,FALSE,"DEF2";#N/A,#N/A,FALSE,"DEF3"}</definedName>
    <definedName name="___MOA1" hidden="1">{#N/A,#N/A,FALSE,"DEF1";#N/A,#N/A,FALSE,"DEF2";#N/A,#N/A,FALSE,"DEF3"}</definedName>
    <definedName name="___MOA2" localSheetId="3" hidden="1">{#N/A,#N/A,FALSE,"DEF1";#N/A,#N/A,FALSE,"DEF2";#N/A,#N/A,FALSE,"DEF3"}</definedName>
    <definedName name="___MOA2" localSheetId="6" hidden="1">{#N/A,#N/A,FALSE,"DEF1";#N/A,#N/A,FALSE,"DEF2";#N/A,#N/A,FALSE,"DEF3"}</definedName>
    <definedName name="___MOA2" localSheetId="7" hidden="1">{#N/A,#N/A,FALSE,"DEF1";#N/A,#N/A,FALSE,"DEF2";#N/A,#N/A,FALSE,"DEF3"}</definedName>
    <definedName name="___MOA2" localSheetId="10" hidden="1">{#N/A,#N/A,FALSE,"DEF1";#N/A,#N/A,FALSE,"DEF2";#N/A,#N/A,FALSE,"DEF3"}</definedName>
    <definedName name="___MOA2" localSheetId="11" hidden="1">{#N/A,#N/A,FALSE,"DEF1";#N/A,#N/A,FALSE,"DEF2";#N/A,#N/A,FALSE,"DEF3"}</definedName>
    <definedName name="___MOA2" localSheetId="5" hidden="1">{#N/A,#N/A,FALSE,"DEF1";#N/A,#N/A,FALSE,"DEF2";#N/A,#N/A,FALSE,"DEF3"}</definedName>
    <definedName name="___MOA2" localSheetId="4" hidden="1">{#N/A,#N/A,FALSE,"DEF1";#N/A,#N/A,FALSE,"DEF2";#N/A,#N/A,FALSE,"DEF3"}</definedName>
    <definedName name="___MOA2" hidden="1">{#N/A,#N/A,FALSE,"DEF1";#N/A,#N/A,FALSE,"DEF2";#N/A,#N/A,FALSE,"DEF3"}</definedName>
    <definedName name="___n2" localSheetId="3" hidden="1">{#N/A,#N/A,FALSE,"PCOL"}</definedName>
    <definedName name="___n2" localSheetId="6" hidden="1">{#N/A,#N/A,FALSE,"PCOL"}</definedName>
    <definedName name="___n2" localSheetId="7" hidden="1">{#N/A,#N/A,FALSE,"PCOL"}</definedName>
    <definedName name="___n2" localSheetId="10" hidden="1">{#N/A,#N/A,FALSE,"PCOL"}</definedName>
    <definedName name="___n2" localSheetId="11" hidden="1">{#N/A,#N/A,FALSE,"PCOL"}</definedName>
    <definedName name="___n2" localSheetId="5" hidden="1">{#N/A,#N/A,FALSE,"PCOL"}</definedName>
    <definedName name="___n2" localSheetId="4" hidden="1">{#N/A,#N/A,FALSE,"PCOL"}</definedName>
    <definedName name="___n2" hidden="1">{#N/A,#N/A,FALSE,"PCOL"}</definedName>
    <definedName name="___PN10" localSheetId="3" hidden="1">{"'gráf jan00'!$A$1:$AK$41"}</definedName>
    <definedName name="___PN10" localSheetId="6" hidden="1">{"'gráf jan00'!$A$1:$AK$41"}</definedName>
    <definedName name="___PN10" localSheetId="7" hidden="1">{"'gráf jan00'!$A$1:$AK$41"}</definedName>
    <definedName name="___PN10" localSheetId="10" hidden="1">{"'gráf jan00'!$A$1:$AK$41"}</definedName>
    <definedName name="___PN10" localSheetId="11" hidden="1">{"'gráf jan00'!$A$1:$AK$41"}</definedName>
    <definedName name="___PN10" localSheetId="5" hidden="1">{"'gráf jan00'!$A$1:$AK$41"}</definedName>
    <definedName name="___PN10" localSheetId="4" hidden="1">{"'gráf jan00'!$A$1:$AK$41"}</definedName>
    <definedName name="___PN10" hidden="1">{"'gráf jan00'!$A$1:$AK$41"}</definedName>
    <definedName name="__1__123Graph_BGrßfico_10C" hidden="1">#REF!</definedName>
    <definedName name="__123Graph_A" hidden="1">[1]aux!$I$28:$M$28</definedName>
    <definedName name="__123Graph_AGraph1" hidden="1">[1]aux!$I$6:$M$6</definedName>
    <definedName name="__123Graph_AGraph10" hidden="1">[1]aux!$I$24:$M$24</definedName>
    <definedName name="__123Graph_AGraph11" hidden="1">[1]aux!$I$26:$M$26</definedName>
    <definedName name="__123Graph_AGraph12" hidden="1">[1]aux!$I$28:$M$28</definedName>
    <definedName name="__123Graph_AGraph2" hidden="1">[1]aux!$I$8:$M$8</definedName>
    <definedName name="__123Graph_AGraph3" hidden="1">[1]aux!$I$10:$M$10</definedName>
    <definedName name="__123Graph_AGraph4" hidden="1">[1]aux!$I$12:$M$12</definedName>
    <definedName name="__123Graph_AGraph5" hidden="1">[1]aux!$I$14:$M$14</definedName>
    <definedName name="__123Graph_AGraph6" hidden="1">[1]aux!$I$16:$M$16</definedName>
    <definedName name="__123Graph_AGraph7" hidden="1">[1]aux!$I$18:$M$18</definedName>
    <definedName name="__123Graph_AGraph8" hidden="1">[1]aux!$I$20:$M$20</definedName>
    <definedName name="__123Graph_AGraph9" hidden="1">[1]aux!$I$22:$M$22</definedName>
    <definedName name="__123Graph_ASIDECO" localSheetId="3" hidden="1">#REF!</definedName>
    <definedName name="__123Graph_ASIDECO" localSheetId="6" hidden="1">#REF!</definedName>
    <definedName name="__123Graph_ASIDECO" localSheetId="7" hidden="1">#REF!</definedName>
    <definedName name="__123Graph_ASIDECO" localSheetId="10" hidden="1">#REF!</definedName>
    <definedName name="__123Graph_ASIDECO" localSheetId="11" hidden="1">#REF!</definedName>
    <definedName name="__123Graph_ASIDECO" localSheetId="1" hidden="1">#REF!</definedName>
    <definedName name="__123Graph_ASIDECO" localSheetId="2" hidden="1">#REF!</definedName>
    <definedName name="__123Graph_ASIDECO" hidden="1">#REF!</definedName>
    <definedName name="__123Graph_B" hidden="1">[1]aux!$B$28:$F$28</definedName>
    <definedName name="__123Graph_BGraph1" hidden="1">[1]aux!$B$6:$F$6</definedName>
    <definedName name="__123Graph_BGraph10" hidden="1">[1]aux!$B$24:$F$24</definedName>
    <definedName name="__123Graph_BGraph11" hidden="1">[1]aux!$B$26:$F$26</definedName>
    <definedName name="__123Graph_BGraph12" hidden="1">[1]aux!$B$28:$F$28</definedName>
    <definedName name="__123Graph_BGraph2" hidden="1">[1]aux!$B$8:$F$8</definedName>
    <definedName name="__123Graph_BGraph3" hidden="1">[1]aux!$B$10:$F$10</definedName>
    <definedName name="__123Graph_BGraph4" hidden="1">[1]aux!$B$12:$F$12</definedName>
    <definedName name="__123Graph_BGraph5" hidden="1">[1]aux!$B$14:$F$14</definedName>
    <definedName name="__123Graph_BGraph6" hidden="1">[1]aux!$B$16:$F$16</definedName>
    <definedName name="__123Graph_BGraph7" hidden="1">[1]aux!$B$18:$F$18</definedName>
    <definedName name="__123Graph_BGraph8" hidden="1">[1]aux!$B$20:$F$20</definedName>
    <definedName name="__123Graph_BGraph9" hidden="1">[1]aux!$B$22:$F$22</definedName>
    <definedName name="__123Graph_BSIDECO" localSheetId="3" hidden="1">#REF!</definedName>
    <definedName name="__123Graph_BSIDECO" localSheetId="6" hidden="1">#REF!</definedName>
    <definedName name="__123Graph_BSIDECO" localSheetId="7" hidden="1">#REF!</definedName>
    <definedName name="__123Graph_BSIDECO" localSheetId="10" hidden="1">#REF!</definedName>
    <definedName name="__123Graph_BSIDECO" localSheetId="11" hidden="1">#REF!</definedName>
    <definedName name="__123Graph_BSIDECO" localSheetId="1" hidden="1">#REF!</definedName>
    <definedName name="__123Graph_BSIDECO" hidden="1">#REF!</definedName>
    <definedName name="__123Graph_CSIDECO" localSheetId="3" hidden="1">#REF!</definedName>
    <definedName name="__123Graph_CSIDECO" localSheetId="7" hidden="1">#REF!</definedName>
    <definedName name="__123Graph_CSIDECO" localSheetId="10" hidden="1">#REF!</definedName>
    <definedName name="__123Graph_CSIDECO" localSheetId="1" hidden="1">#REF!</definedName>
    <definedName name="__123Graph_CSIDECO" hidden="1">#REF!</definedName>
    <definedName name="__123Graph_E" hidden="1">[2]Assum!$F$12:$F$19</definedName>
    <definedName name="__123Graph_X" hidden="1">[1]aux!$B$29:$F$29</definedName>
    <definedName name="__123Graph_XGraph1" hidden="1">[1]aux!$B$7:$F$7</definedName>
    <definedName name="__123Graph_XGraph10" hidden="1">[1]aux!$B$25:$F$25</definedName>
    <definedName name="__123Graph_XGraph11" hidden="1">[1]aux!$B$27:$F$27</definedName>
    <definedName name="__123Graph_XGraph12" hidden="1">[1]aux!$B$29:$F$29</definedName>
    <definedName name="__123Graph_XGraph2" hidden="1">[1]aux!$B$9:$F$9</definedName>
    <definedName name="__123Graph_XGraph3" hidden="1">[1]aux!$B$11:$F$11</definedName>
    <definedName name="__123Graph_XGraph4" hidden="1">[1]aux!$B$13:$F$13</definedName>
    <definedName name="__123Graph_XGraph5" hidden="1">[1]aux!$B$15:$F$15</definedName>
    <definedName name="__123Graph_XGraph6" hidden="1">[1]aux!$B$17:$F$17</definedName>
    <definedName name="__123Graph_XGraph7" hidden="1">[1]aux!$B$19:$F$19</definedName>
    <definedName name="__123Graph_XGraph8" hidden="1">[1]aux!$B$21:$F$21</definedName>
    <definedName name="__123Graph_XGraph9" hidden="1">[1]aux!$B$23:$F$23</definedName>
    <definedName name="__123Graph_XSIDECO" localSheetId="3" hidden="1">#REF!</definedName>
    <definedName name="__123Graph_XSIDECO" localSheetId="6" hidden="1">#REF!</definedName>
    <definedName name="__123Graph_XSIDECO" localSheetId="7" hidden="1">#REF!</definedName>
    <definedName name="__123Graph_XSIDECO" localSheetId="10" hidden="1">#REF!</definedName>
    <definedName name="__123Graph_XSIDECO" localSheetId="11" hidden="1">#REF!</definedName>
    <definedName name="__123Graph_XSIDECO" localSheetId="1" hidden="1">#REF!</definedName>
    <definedName name="__123Graph_XSIDECO" hidden="1">#REF!</definedName>
    <definedName name="__1ESQ_MADEIRA">#N/A</definedName>
    <definedName name="__2ESQ_METÁL">#N/A</definedName>
    <definedName name="__3REV_PAREDES">#N/A</definedName>
    <definedName name="__4REV_PISOS">#N/A</definedName>
    <definedName name="__adm1" localSheetId="3" hidden="1">{"'Índice'!$A$1:$K$49"}</definedName>
    <definedName name="__adm1" localSheetId="6" hidden="1">{"'Índice'!$A$1:$K$49"}</definedName>
    <definedName name="__adm1" localSheetId="7" hidden="1">{"'Índice'!$A$1:$K$49"}</definedName>
    <definedName name="__adm1" localSheetId="10" hidden="1">{"'Índice'!$A$1:$K$49"}</definedName>
    <definedName name="__adm1" localSheetId="11" hidden="1">{"'Índice'!$A$1:$K$49"}</definedName>
    <definedName name="__adm1" localSheetId="5" hidden="1">{"'Índice'!$A$1:$K$49"}</definedName>
    <definedName name="__adm1" localSheetId="4" hidden="1">{"'Índice'!$A$1:$K$49"}</definedName>
    <definedName name="__adm1" hidden="1">{"'Índice'!$A$1:$K$49"}</definedName>
    <definedName name="__adm2" localSheetId="3" hidden="1">{"VENTAS1",#N/A,FALSE,"VENTAS";"VENTAS2",#N/A,FALSE,"VENTAS";"VENTAS3",#N/A,FALSE,"VENTAS";"VENTAS4",#N/A,FALSE,"VENTAS";"VENTAS5",#N/A,FALSE,"VENTAS";"VENTAS6",#N/A,FALSE,"VENTAS";"VENTAS7",#N/A,FALSE,"VENTAS";"VENTAS8",#N/A,FALSE,"VENTAS"}</definedName>
    <definedName name="__adm2" localSheetId="6" hidden="1">{"VENTAS1",#N/A,FALSE,"VENTAS";"VENTAS2",#N/A,FALSE,"VENTAS";"VENTAS3",#N/A,FALSE,"VENTAS";"VENTAS4",#N/A,FALSE,"VENTAS";"VENTAS5",#N/A,FALSE,"VENTAS";"VENTAS6",#N/A,FALSE,"VENTAS";"VENTAS7",#N/A,FALSE,"VENTAS";"VENTAS8",#N/A,FALSE,"VENTAS"}</definedName>
    <definedName name="__adm2" localSheetId="7" hidden="1">{"VENTAS1",#N/A,FALSE,"VENTAS";"VENTAS2",#N/A,FALSE,"VENTAS";"VENTAS3",#N/A,FALSE,"VENTAS";"VENTAS4",#N/A,FALSE,"VENTAS";"VENTAS5",#N/A,FALSE,"VENTAS";"VENTAS6",#N/A,FALSE,"VENTAS";"VENTAS7",#N/A,FALSE,"VENTAS";"VENTAS8",#N/A,FALSE,"VENTAS"}</definedName>
    <definedName name="__adm2" localSheetId="10" hidden="1">{"VENTAS1",#N/A,FALSE,"VENTAS";"VENTAS2",#N/A,FALSE,"VENTAS";"VENTAS3",#N/A,FALSE,"VENTAS";"VENTAS4",#N/A,FALSE,"VENTAS";"VENTAS5",#N/A,FALSE,"VENTAS";"VENTAS6",#N/A,FALSE,"VENTAS";"VENTAS7",#N/A,FALSE,"VENTAS";"VENTAS8",#N/A,FALSE,"VENTAS"}</definedName>
    <definedName name="__adm2" localSheetId="11" hidden="1">{"VENTAS1",#N/A,FALSE,"VENTAS";"VENTAS2",#N/A,FALSE,"VENTAS";"VENTAS3",#N/A,FALSE,"VENTAS";"VENTAS4",#N/A,FALSE,"VENTAS";"VENTAS5",#N/A,FALSE,"VENTAS";"VENTAS6",#N/A,FALSE,"VENTAS";"VENTAS7",#N/A,FALSE,"VENTAS";"VENTAS8",#N/A,FALSE,"VENTAS"}</definedName>
    <definedName name="__adm2" localSheetId="5" hidden="1">{"VENTAS1",#N/A,FALSE,"VENTAS";"VENTAS2",#N/A,FALSE,"VENTAS";"VENTAS3",#N/A,FALSE,"VENTAS";"VENTAS4",#N/A,FALSE,"VENTAS";"VENTAS5",#N/A,FALSE,"VENTAS";"VENTAS6",#N/A,FALSE,"VENTAS";"VENTAS7",#N/A,FALSE,"VENTAS";"VENTAS8",#N/A,FALSE,"VENTAS"}</definedName>
    <definedName name="__adm2" localSheetId="4" hidden="1">{"VENTAS1",#N/A,FALSE,"VENTAS";"VENTAS2",#N/A,FALSE,"VENTAS";"VENTAS3",#N/A,FALSE,"VENTAS";"VENTAS4",#N/A,FALSE,"VENTAS";"VENTAS5",#N/A,FALSE,"VENTAS";"VENTAS6",#N/A,FALSE,"VENTAS";"VENTAS7",#N/A,FALSE,"VENTAS";"VENTAS8",#N/A,FALSE,"VENTAS"}</definedName>
    <definedName name="__adm2" hidden="1">{"VENTAS1",#N/A,FALSE,"VENTAS";"VENTAS2",#N/A,FALSE,"VENTAS";"VENTAS3",#N/A,FALSE,"VENTAS";"VENTAS4",#N/A,FALSE,"VENTAS";"VENTAS5",#N/A,FALSE,"VENTAS";"VENTAS6",#N/A,FALSE,"VENTAS";"VENTAS7",#N/A,FALSE,"VENTAS";"VENTAS8",#N/A,FALSE,"VENTAS"}</definedName>
    <definedName name="__ago1" localSheetId="3" hidden="1">{"'gráf jan00'!$A$1:$AK$41"}</definedName>
    <definedName name="__ago1" localSheetId="6" hidden="1">{"'gráf jan00'!$A$1:$AK$41"}</definedName>
    <definedName name="__ago1" localSheetId="7" hidden="1">{"'gráf jan00'!$A$1:$AK$41"}</definedName>
    <definedName name="__ago1" localSheetId="10" hidden="1">{"'gráf jan00'!$A$1:$AK$41"}</definedName>
    <definedName name="__ago1" localSheetId="11" hidden="1">{"'gráf jan00'!$A$1:$AK$41"}</definedName>
    <definedName name="__ago1" localSheetId="5" hidden="1">{"'gráf jan00'!$A$1:$AK$41"}</definedName>
    <definedName name="__ago1" localSheetId="4" hidden="1">{"'gráf jan00'!$A$1:$AK$41"}</definedName>
    <definedName name="__ago1" hidden="1">{"'gráf jan00'!$A$1:$AK$41"}</definedName>
    <definedName name="__ago10" localSheetId="3" hidden="1">{"'gráf jan00'!$A$1:$AK$41"}</definedName>
    <definedName name="__ago10" localSheetId="6" hidden="1">{"'gráf jan00'!$A$1:$AK$41"}</definedName>
    <definedName name="__ago10" localSheetId="7" hidden="1">{"'gráf jan00'!$A$1:$AK$41"}</definedName>
    <definedName name="__ago10" localSheetId="10" hidden="1">{"'gráf jan00'!$A$1:$AK$41"}</definedName>
    <definedName name="__ago10" localSheetId="11" hidden="1">{"'gráf jan00'!$A$1:$AK$41"}</definedName>
    <definedName name="__ago10" localSheetId="5" hidden="1">{"'gráf jan00'!$A$1:$AK$41"}</definedName>
    <definedName name="__ago10" localSheetId="4" hidden="1">{"'gráf jan00'!$A$1:$AK$41"}</definedName>
    <definedName name="__ago10" hidden="1">{"'gráf jan00'!$A$1:$AK$41"}</definedName>
    <definedName name="__ago2" localSheetId="3" hidden="1">{"'gráf jan00'!$A$1:$AK$41"}</definedName>
    <definedName name="__ago2" localSheetId="6" hidden="1">{"'gráf jan00'!$A$1:$AK$41"}</definedName>
    <definedName name="__ago2" localSheetId="7" hidden="1">{"'gráf jan00'!$A$1:$AK$41"}</definedName>
    <definedName name="__ago2" localSheetId="10" hidden="1">{"'gráf jan00'!$A$1:$AK$41"}</definedName>
    <definedName name="__ago2" localSheetId="11" hidden="1">{"'gráf jan00'!$A$1:$AK$41"}</definedName>
    <definedName name="__ago2" localSheetId="5" hidden="1">{"'gráf jan00'!$A$1:$AK$41"}</definedName>
    <definedName name="__ago2" localSheetId="4" hidden="1">{"'gráf jan00'!$A$1:$AK$41"}</definedName>
    <definedName name="__ago2" hidden="1">{"'gráf jan00'!$A$1:$AK$41"}</definedName>
    <definedName name="__ago3" localSheetId="3" hidden="1">{"'gráf jan00'!$A$1:$AK$41"}</definedName>
    <definedName name="__ago3" localSheetId="6" hidden="1">{"'gráf jan00'!$A$1:$AK$41"}</definedName>
    <definedName name="__ago3" localSheetId="7" hidden="1">{"'gráf jan00'!$A$1:$AK$41"}</definedName>
    <definedName name="__ago3" localSheetId="10" hidden="1">{"'gráf jan00'!$A$1:$AK$41"}</definedName>
    <definedName name="__ago3" localSheetId="11" hidden="1">{"'gráf jan00'!$A$1:$AK$41"}</definedName>
    <definedName name="__ago3" localSheetId="5" hidden="1">{"'gráf jan00'!$A$1:$AK$41"}</definedName>
    <definedName name="__ago3" localSheetId="4" hidden="1">{"'gráf jan00'!$A$1:$AK$41"}</definedName>
    <definedName name="__ago3" hidden="1">{"'gráf jan00'!$A$1:$AK$41"}</definedName>
    <definedName name="__ago4" localSheetId="3" hidden="1">{"'gráf jan00'!$A$1:$AK$41"}</definedName>
    <definedName name="__ago4" localSheetId="6" hidden="1">{"'gráf jan00'!$A$1:$AK$41"}</definedName>
    <definedName name="__ago4" localSheetId="7" hidden="1">{"'gráf jan00'!$A$1:$AK$41"}</definedName>
    <definedName name="__ago4" localSheetId="10" hidden="1">{"'gráf jan00'!$A$1:$AK$41"}</definedName>
    <definedName name="__ago4" localSheetId="11" hidden="1">{"'gráf jan00'!$A$1:$AK$41"}</definedName>
    <definedName name="__ago4" localSheetId="5" hidden="1">{"'gráf jan00'!$A$1:$AK$41"}</definedName>
    <definedName name="__ago4" localSheetId="4" hidden="1">{"'gráf jan00'!$A$1:$AK$41"}</definedName>
    <definedName name="__ago4" hidden="1">{"'gráf jan00'!$A$1:$AK$41"}</definedName>
    <definedName name="__ago5" localSheetId="3" hidden="1">{"'gráf jan00'!$A$1:$AK$41"}</definedName>
    <definedName name="__ago5" localSheetId="6" hidden="1">{"'gráf jan00'!$A$1:$AK$41"}</definedName>
    <definedName name="__ago5" localSheetId="7" hidden="1">{"'gráf jan00'!$A$1:$AK$41"}</definedName>
    <definedName name="__ago5" localSheetId="10" hidden="1">{"'gráf jan00'!$A$1:$AK$41"}</definedName>
    <definedName name="__ago5" localSheetId="11" hidden="1">{"'gráf jan00'!$A$1:$AK$41"}</definedName>
    <definedName name="__ago5" localSheetId="5" hidden="1">{"'gráf jan00'!$A$1:$AK$41"}</definedName>
    <definedName name="__ago5" localSheetId="4" hidden="1">{"'gráf jan00'!$A$1:$AK$41"}</definedName>
    <definedName name="__ago5" hidden="1">{"'gráf jan00'!$A$1:$AK$41"}</definedName>
    <definedName name="__ago6" localSheetId="3" hidden="1">{"'gráf jan00'!$A$1:$AK$41"}</definedName>
    <definedName name="__ago6" localSheetId="6" hidden="1">{"'gráf jan00'!$A$1:$AK$41"}</definedName>
    <definedName name="__ago6" localSheetId="7" hidden="1">{"'gráf jan00'!$A$1:$AK$41"}</definedName>
    <definedName name="__ago6" localSheetId="10" hidden="1">{"'gráf jan00'!$A$1:$AK$41"}</definedName>
    <definedName name="__ago6" localSheetId="11" hidden="1">{"'gráf jan00'!$A$1:$AK$41"}</definedName>
    <definedName name="__ago6" localSheetId="5" hidden="1">{"'gráf jan00'!$A$1:$AK$41"}</definedName>
    <definedName name="__ago6" localSheetId="4" hidden="1">{"'gráf jan00'!$A$1:$AK$41"}</definedName>
    <definedName name="__ago6" hidden="1">{"'gráf jan00'!$A$1:$AK$41"}</definedName>
    <definedName name="__ago7" localSheetId="3" hidden="1">{"'gráf jan00'!$A$1:$AK$41"}</definedName>
    <definedName name="__ago7" localSheetId="6" hidden="1">{"'gráf jan00'!$A$1:$AK$41"}</definedName>
    <definedName name="__ago7" localSheetId="7" hidden="1">{"'gráf jan00'!$A$1:$AK$41"}</definedName>
    <definedName name="__ago7" localSheetId="10" hidden="1">{"'gráf jan00'!$A$1:$AK$41"}</definedName>
    <definedName name="__ago7" localSheetId="11" hidden="1">{"'gráf jan00'!$A$1:$AK$41"}</definedName>
    <definedName name="__ago7" localSheetId="5" hidden="1">{"'gráf jan00'!$A$1:$AK$41"}</definedName>
    <definedName name="__ago7" localSheetId="4" hidden="1">{"'gráf jan00'!$A$1:$AK$41"}</definedName>
    <definedName name="__ago7" hidden="1">{"'gráf jan00'!$A$1:$AK$41"}</definedName>
    <definedName name="__ago8" localSheetId="3" hidden="1">{"'gráf jan00'!$A$1:$AK$41"}</definedName>
    <definedName name="__ago8" localSheetId="6" hidden="1">{"'gráf jan00'!$A$1:$AK$41"}</definedName>
    <definedName name="__ago8" localSheetId="7" hidden="1">{"'gráf jan00'!$A$1:$AK$41"}</definedName>
    <definedName name="__ago8" localSheetId="10" hidden="1">{"'gráf jan00'!$A$1:$AK$41"}</definedName>
    <definedName name="__ago8" localSheetId="11" hidden="1">{"'gráf jan00'!$A$1:$AK$41"}</definedName>
    <definedName name="__ago8" localSheetId="5" hidden="1">{"'gráf jan00'!$A$1:$AK$41"}</definedName>
    <definedName name="__ago8" localSheetId="4" hidden="1">{"'gráf jan00'!$A$1:$AK$41"}</definedName>
    <definedName name="__ago8" hidden="1">{"'gráf jan00'!$A$1:$AK$41"}</definedName>
    <definedName name="__ago9" localSheetId="3" hidden="1">{"'gráf jan00'!$A$1:$AK$41"}</definedName>
    <definedName name="__ago9" localSheetId="6" hidden="1">{"'gráf jan00'!$A$1:$AK$41"}</definedName>
    <definedName name="__ago9" localSheetId="7" hidden="1">{"'gráf jan00'!$A$1:$AK$41"}</definedName>
    <definedName name="__ago9" localSheetId="10" hidden="1">{"'gráf jan00'!$A$1:$AK$41"}</definedName>
    <definedName name="__ago9" localSheetId="11" hidden="1">{"'gráf jan00'!$A$1:$AK$41"}</definedName>
    <definedName name="__ago9" localSheetId="5" hidden="1">{"'gráf jan00'!$A$1:$AK$41"}</definedName>
    <definedName name="__ago9" localSheetId="4" hidden="1">{"'gráf jan00'!$A$1:$AK$41"}</definedName>
    <definedName name="__ago9" hidden="1">{"'gráf jan00'!$A$1:$AK$41"}</definedName>
    <definedName name="__ago99999" localSheetId="3" hidden="1">{"'gráf jan00'!$A$1:$AK$41"}</definedName>
    <definedName name="__ago99999" localSheetId="6" hidden="1">{"'gráf jan00'!$A$1:$AK$41"}</definedName>
    <definedName name="__ago99999" localSheetId="7" hidden="1">{"'gráf jan00'!$A$1:$AK$41"}</definedName>
    <definedName name="__ago99999" localSheetId="10" hidden="1">{"'gráf jan00'!$A$1:$AK$41"}</definedName>
    <definedName name="__ago99999" localSheetId="11" hidden="1">{"'gráf jan00'!$A$1:$AK$41"}</definedName>
    <definedName name="__ago99999" localSheetId="5" hidden="1">{"'gráf jan00'!$A$1:$AK$41"}</definedName>
    <definedName name="__ago99999" localSheetId="4" hidden="1">{"'gráf jan00'!$A$1:$AK$41"}</definedName>
    <definedName name="__ago99999" hidden="1">{"'gráf jan00'!$A$1:$AK$41"}</definedName>
    <definedName name="__DEF2" localSheetId="3" hidden="1">{#N/A,#N/A,FALSE,"DEF1";#N/A,#N/A,FALSE,"DEF2";#N/A,#N/A,FALSE,"DEF3"}</definedName>
    <definedName name="__DEF2" localSheetId="6" hidden="1">{#N/A,#N/A,FALSE,"DEF1";#N/A,#N/A,FALSE,"DEF2";#N/A,#N/A,FALSE,"DEF3"}</definedName>
    <definedName name="__DEF2" localSheetId="7" hidden="1">{#N/A,#N/A,FALSE,"DEF1";#N/A,#N/A,FALSE,"DEF2";#N/A,#N/A,FALSE,"DEF3"}</definedName>
    <definedName name="__DEF2" localSheetId="10" hidden="1">{#N/A,#N/A,FALSE,"DEF1";#N/A,#N/A,FALSE,"DEF2";#N/A,#N/A,FALSE,"DEF3"}</definedName>
    <definedName name="__DEF2" localSheetId="11" hidden="1">{#N/A,#N/A,FALSE,"DEF1";#N/A,#N/A,FALSE,"DEF2";#N/A,#N/A,FALSE,"DEF3"}</definedName>
    <definedName name="__DEF2" localSheetId="5" hidden="1">{#N/A,#N/A,FALSE,"DEF1";#N/A,#N/A,FALSE,"DEF2";#N/A,#N/A,FALSE,"DEF3"}</definedName>
    <definedName name="__DEF2" localSheetId="4" hidden="1">{#N/A,#N/A,FALSE,"DEF1";#N/A,#N/A,FALSE,"DEF2";#N/A,#N/A,FALSE,"DEF3"}</definedName>
    <definedName name="__DEF2" hidden="1">{#N/A,#N/A,FALSE,"DEF1";#N/A,#N/A,FALSE,"DEF2";#N/A,#N/A,FALSE,"DEF3"}</definedName>
    <definedName name="__DEF3" localSheetId="3" hidden="1">{#N/A,#N/A,FALSE,"DEF1";#N/A,#N/A,FALSE,"DEF2";#N/A,#N/A,FALSE,"DEF3"}</definedName>
    <definedName name="__DEF3" localSheetId="6" hidden="1">{#N/A,#N/A,FALSE,"DEF1";#N/A,#N/A,FALSE,"DEF2";#N/A,#N/A,FALSE,"DEF3"}</definedName>
    <definedName name="__DEF3" localSheetId="7" hidden="1">{#N/A,#N/A,FALSE,"DEF1";#N/A,#N/A,FALSE,"DEF2";#N/A,#N/A,FALSE,"DEF3"}</definedName>
    <definedName name="__DEF3" localSheetId="10" hidden="1">{#N/A,#N/A,FALSE,"DEF1";#N/A,#N/A,FALSE,"DEF2";#N/A,#N/A,FALSE,"DEF3"}</definedName>
    <definedName name="__DEF3" localSheetId="11" hidden="1">{#N/A,#N/A,FALSE,"DEF1";#N/A,#N/A,FALSE,"DEF2";#N/A,#N/A,FALSE,"DEF3"}</definedName>
    <definedName name="__DEF3" localSheetId="5" hidden="1">{#N/A,#N/A,FALSE,"DEF1";#N/A,#N/A,FALSE,"DEF2";#N/A,#N/A,FALSE,"DEF3"}</definedName>
    <definedName name="__DEF3" localSheetId="4" hidden="1">{#N/A,#N/A,FALSE,"DEF1";#N/A,#N/A,FALSE,"DEF2";#N/A,#N/A,FALSE,"DEF3"}</definedName>
    <definedName name="__DEF3" hidden="1">{#N/A,#N/A,FALSE,"DEF1";#N/A,#N/A,FALSE,"DEF2";#N/A,#N/A,FALSE,"DEF3"}</definedName>
    <definedName name="__DFG4" localSheetId="3"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DFG4" localSheetId="6"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DFG4" localSheetId="7"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DFG4" localSheetId="10"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DFG4" localSheetId="11"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DFG4" localSheetId="5"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DFG4" localSheetId="4"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DFG4"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efc10" localSheetId="3" hidden="1">{"'RR'!$A$2:$E$81"}</definedName>
    <definedName name="__efc10" localSheetId="6" hidden="1">{"'RR'!$A$2:$E$81"}</definedName>
    <definedName name="__efc10" localSheetId="7" hidden="1">{"'RR'!$A$2:$E$81"}</definedName>
    <definedName name="__efc10" localSheetId="10" hidden="1">{"'RR'!$A$2:$E$81"}</definedName>
    <definedName name="__efc10" localSheetId="11" hidden="1">{"'RR'!$A$2:$E$81"}</definedName>
    <definedName name="__efc10" localSheetId="5" hidden="1">{"'RR'!$A$2:$E$81"}</definedName>
    <definedName name="__efc10" localSheetId="4" hidden="1">{"'RR'!$A$2:$E$81"}</definedName>
    <definedName name="__efc10" hidden="1">{"'RR'!$A$2:$E$81"}</definedName>
    <definedName name="__EFC2" localSheetId="3" hidden="1">{"'RR'!$A$2:$E$81"}</definedName>
    <definedName name="__EFC2" localSheetId="6" hidden="1">{"'RR'!$A$2:$E$81"}</definedName>
    <definedName name="__EFC2" localSheetId="7" hidden="1">{"'RR'!$A$2:$E$81"}</definedName>
    <definedName name="__EFC2" localSheetId="10" hidden="1">{"'RR'!$A$2:$E$81"}</definedName>
    <definedName name="__EFC2" localSheetId="11" hidden="1">{"'RR'!$A$2:$E$81"}</definedName>
    <definedName name="__EFC2" localSheetId="5" hidden="1">{"'RR'!$A$2:$E$81"}</definedName>
    <definedName name="__EFC2" localSheetId="4" hidden="1">{"'RR'!$A$2:$E$81"}</definedName>
    <definedName name="__EFC2" hidden="1">{"'RR'!$A$2:$E$81"}</definedName>
    <definedName name="__EFC3" localSheetId="3" hidden="1">{"'RR'!$A$2:$E$81"}</definedName>
    <definedName name="__EFC3" localSheetId="6" hidden="1">{"'RR'!$A$2:$E$81"}</definedName>
    <definedName name="__EFC3" localSheetId="7" hidden="1">{"'RR'!$A$2:$E$81"}</definedName>
    <definedName name="__EFC3" localSheetId="10" hidden="1">{"'RR'!$A$2:$E$81"}</definedName>
    <definedName name="__EFC3" localSheetId="11" hidden="1">{"'RR'!$A$2:$E$81"}</definedName>
    <definedName name="__EFC3" localSheetId="5" hidden="1">{"'RR'!$A$2:$E$81"}</definedName>
    <definedName name="__EFC3" localSheetId="4" hidden="1">{"'RR'!$A$2:$E$81"}</definedName>
    <definedName name="__EFC3" hidden="1">{"'RR'!$A$2:$E$81"}</definedName>
    <definedName name="__EFC4" localSheetId="3" hidden="1">{"'RR'!$A$2:$E$81"}</definedName>
    <definedName name="__EFC4" localSheetId="6" hidden="1">{"'RR'!$A$2:$E$81"}</definedName>
    <definedName name="__EFC4" localSheetId="7" hidden="1">{"'RR'!$A$2:$E$81"}</definedName>
    <definedName name="__EFC4" localSheetId="10" hidden="1">{"'RR'!$A$2:$E$81"}</definedName>
    <definedName name="__EFC4" localSheetId="11" hidden="1">{"'RR'!$A$2:$E$81"}</definedName>
    <definedName name="__EFC4" localSheetId="5" hidden="1">{"'RR'!$A$2:$E$81"}</definedName>
    <definedName name="__EFC4" localSheetId="4" hidden="1">{"'RR'!$A$2:$E$81"}</definedName>
    <definedName name="__EFC4" hidden="1">{"'RR'!$A$2:$E$81"}</definedName>
    <definedName name="__ffp16" localSheetId="3" hidden="1">{"'gráf jan00'!$A$1:$AK$41"}</definedName>
    <definedName name="__ffp16" localSheetId="6" hidden="1">{"'gráf jan00'!$A$1:$AK$41"}</definedName>
    <definedName name="__ffp16" localSheetId="7" hidden="1">{"'gráf jan00'!$A$1:$AK$41"}</definedName>
    <definedName name="__ffp16" localSheetId="10" hidden="1">{"'gráf jan00'!$A$1:$AK$41"}</definedName>
    <definedName name="__ffp16" localSheetId="11" hidden="1">{"'gráf jan00'!$A$1:$AK$41"}</definedName>
    <definedName name="__ffp16" localSheetId="5" hidden="1">{"'gráf jan00'!$A$1:$AK$41"}</definedName>
    <definedName name="__ffp16" localSheetId="4" hidden="1">{"'gráf jan00'!$A$1:$AK$41"}</definedName>
    <definedName name="__ffp16" hidden="1">{"'gráf jan00'!$A$1:$AK$41"}</definedName>
    <definedName name="__ffp4589" localSheetId="3" hidden="1">{"'gráf jan00'!$A$1:$AK$41"}</definedName>
    <definedName name="__ffp4589" localSheetId="6" hidden="1">{"'gráf jan00'!$A$1:$AK$41"}</definedName>
    <definedName name="__ffp4589" localSheetId="7" hidden="1">{"'gráf jan00'!$A$1:$AK$41"}</definedName>
    <definedName name="__ffp4589" localSheetId="10" hidden="1">{"'gráf jan00'!$A$1:$AK$41"}</definedName>
    <definedName name="__ffp4589" localSheetId="11" hidden="1">{"'gráf jan00'!$A$1:$AK$41"}</definedName>
    <definedName name="__ffp4589" localSheetId="5" hidden="1">{"'gráf jan00'!$A$1:$AK$41"}</definedName>
    <definedName name="__ffp4589" localSheetId="4" hidden="1">{"'gráf jan00'!$A$1:$AK$41"}</definedName>
    <definedName name="__ffp4589" hidden="1">{"'gráf jan00'!$A$1:$AK$41"}</definedName>
    <definedName name="__IntlFixup" hidden="1">TRUE</definedName>
    <definedName name="__IntlFixupTable" localSheetId="3" hidden="1">#REF!</definedName>
    <definedName name="__IntlFixupTable" localSheetId="6" hidden="1">#REF!</definedName>
    <definedName name="__IntlFixupTable" localSheetId="7" hidden="1">#REF!</definedName>
    <definedName name="__IntlFixupTable" localSheetId="10" hidden="1">#REF!</definedName>
    <definedName name="__IntlFixupTable" localSheetId="11" hidden="1">#REF!</definedName>
    <definedName name="__IntlFixupTable" hidden="1">#REF!</definedName>
    <definedName name="__JAN02" localSheetId="3" hidden="1">{"VENTAS1",#N/A,FALSE,"VENTAS";"VENTAS2",#N/A,FALSE,"VENTAS";"VENTAS3",#N/A,FALSE,"VENTAS";"VENTAS4",#N/A,FALSE,"VENTAS";"VENTAS5",#N/A,FALSE,"VENTAS";"VENTAS6",#N/A,FALSE,"VENTAS";"VENTAS7",#N/A,FALSE,"VENTAS";"VENTAS8",#N/A,FALSE,"VENTAS"}</definedName>
    <definedName name="__JAN02" localSheetId="6" hidden="1">{"VENTAS1",#N/A,FALSE,"VENTAS";"VENTAS2",#N/A,FALSE,"VENTAS";"VENTAS3",#N/A,FALSE,"VENTAS";"VENTAS4",#N/A,FALSE,"VENTAS";"VENTAS5",#N/A,FALSE,"VENTAS";"VENTAS6",#N/A,FALSE,"VENTAS";"VENTAS7",#N/A,FALSE,"VENTAS";"VENTAS8",#N/A,FALSE,"VENTAS"}</definedName>
    <definedName name="__JAN02" localSheetId="7" hidden="1">{"VENTAS1",#N/A,FALSE,"VENTAS";"VENTAS2",#N/A,FALSE,"VENTAS";"VENTAS3",#N/A,FALSE,"VENTAS";"VENTAS4",#N/A,FALSE,"VENTAS";"VENTAS5",#N/A,FALSE,"VENTAS";"VENTAS6",#N/A,FALSE,"VENTAS";"VENTAS7",#N/A,FALSE,"VENTAS";"VENTAS8",#N/A,FALSE,"VENTAS"}</definedName>
    <definedName name="__JAN02" localSheetId="10" hidden="1">{"VENTAS1",#N/A,FALSE,"VENTAS";"VENTAS2",#N/A,FALSE,"VENTAS";"VENTAS3",#N/A,FALSE,"VENTAS";"VENTAS4",#N/A,FALSE,"VENTAS";"VENTAS5",#N/A,FALSE,"VENTAS";"VENTAS6",#N/A,FALSE,"VENTAS";"VENTAS7",#N/A,FALSE,"VENTAS";"VENTAS8",#N/A,FALSE,"VENTAS"}</definedName>
    <definedName name="__JAN02" localSheetId="11" hidden="1">{"VENTAS1",#N/A,FALSE,"VENTAS";"VENTAS2",#N/A,FALSE,"VENTAS";"VENTAS3",#N/A,FALSE,"VENTAS";"VENTAS4",#N/A,FALSE,"VENTAS";"VENTAS5",#N/A,FALSE,"VENTAS";"VENTAS6",#N/A,FALSE,"VENTAS";"VENTAS7",#N/A,FALSE,"VENTAS";"VENTAS8",#N/A,FALSE,"VENTAS"}</definedName>
    <definedName name="__JAN02" localSheetId="5" hidden="1">{"VENTAS1",#N/A,FALSE,"VENTAS";"VENTAS2",#N/A,FALSE,"VENTAS";"VENTAS3",#N/A,FALSE,"VENTAS";"VENTAS4",#N/A,FALSE,"VENTAS";"VENTAS5",#N/A,FALSE,"VENTAS";"VENTAS6",#N/A,FALSE,"VENTAS";"VENTAS7",#N/A,FALSE,"VENTAS";"VENTAS8",#N/A,FALSE,"VENTAS"}</definedName>
    <definedName name="__JAN02" localSheetId="4" hidden="1">{"VENTAS1",#N/A,FALSE,"VENTAS";"VENTAS2",#N/A,FALSE,"VENTAS";"VENTAS3",#N/A,FALSE,"VENTAS";"VENTAS4",#N/A,FALSE,"VENTAS";"VENTAS5",#N/A,FALSE,"VENTAS";"VENTAS6",#N/A,FALSE,"VENTAS";"VENTAS7",#N/A,FALSE,"VENTAS";"VENTAS8",#N/A,FALSE,"VENTAS"}</definedName>
    <definedName name="__JAN02" localSheetId="1" hidden="1">{"VENTAS1",#N/A,FALSE,"VENTAS";"VENTAS2",#N/A,FALSE,"VENTAS";"VENTAS3",#N/A,FALSE,"VENTAS";"VENTAS4",#N/A,FALSE,"VENTAS";"VENTAS5",#N/A,FALSE,"VENTAS";"VENTAS6",#N/A,FALSE,"VENTAS";"VENTAS7",#N/A,FALSE,"VENTAS";"VENTAS8",#N/A,FALSE,"VENTAS"}</definedName>
    <definedName name="__JAN02" localSheetId="2" hidden="1">{"VENTAS1",#N/A,FALSE,"VENTAS";"VENTAS2",#N/A,FALSE,"VENTAS";"VENTAS3",#N/A,FALSE,"VENTAS";"VENTAS4",#N/A,FALSE,"VENTAS";"VENTAS5",#N/A,FALSE,"VENTAS";"VENTAS6",#N/A,FALSE,"VENTAS";"VENTAS7",#N/A,FALSE,"VENTAS";"VENTAS8",#N/A,FALSE,"VENTAS"}</definedName>
    <definedName name="__JAN02" hidden="1">{"VENTAS1",#N/A,FALSE,"VENTAS";"VENTAS2",#N/A,FALSE,"VENTAS";"VENTAS3",#N/A,FALSE,"VENTAS";"VENTAS4",#N/A,FALSE,"VENTAS";"VENTAS5",#N/A,FALSE,"VENTAS";"VENTAS6",#N/A,FALSE,"VENTAS";"VENTAS7",#N/A,FALSE,"VENTAS";"VENTAS8",#N/A,FALSE,"VENTAS"}</definedName>
    <definedName name="__JU7" localSheetId="3"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JU7" localSheetId="6"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JU7" localSheetId="7"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JU7" localSheetId="10"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JU7" localSheetId="11"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JU7" localSheetId="5"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JU7" localSheetId="4"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JU7"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jun04" localSheetId="3" hidden="1">{"'gráf jan00'!$A$1:$AK$41"}</definedName>
    <definedName name="__jun04" localSheetId="6" hidden="1">{"'gráf jan00'!$A$1:$AK$41"}</definedName>
    <definedName name="__jun04" localSheetId="7" hidden="1">{"'gráf jan00'!$A$1:$AK$41"}</definedName>
    <definedName name="__jun04" localSheetId="10" hidden="1">{"'gráf jan00'!$A$1:$AK$41"}</definedName>
    <definedName name="__jun04" localSheetId="11" hidden="1">{"'gráf jan00'!$A$1:$AK$41"}</definedName>
    <definedName name="__jun04" localSheetId="5" hidden="1">{"'gráf jan00'!$A$1:$AK$41"}</definedName>
    <definedName name="__jun04" localSheetId="4" hidden="1">{"'gráf jan00'!$A$1:$AK$41"}</definedName>
    <definedName name="__jun04" hidden="1">{"'gráf jan00'!$A$1:$AK$41"}</definedName>
    <definedName name="__kj14" localSheetId="3"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kj14" localSheetId="6"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kj14" localSheetId="7"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kj14" localSheetId="10"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kj14" localSheetId="11"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kj14" localSheetId="5"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kj14" localSheetId="4"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kj14"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kj16" localSheetId="3"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kj16" localSheetId="6"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kj16" localSheetId="7"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kj16" localSheetId="10"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kj16" localSheetId="11"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kj16" localSheetId="5"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kj16" localSheetId="4"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kj16"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kj4" localSheetId="3"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kj4" localSheetId="6"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kj4" localSheetId="7"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kj4" localSheetId="10"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kj4" localSheetId="11"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kj4" localSheetId="5"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kj4" localSheetId="4"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kj4"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kj8" localSheetId="3"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kj8" localSheetId="6"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kj8" localSheetId="7"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kj8" localSheetId="10"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kj8" localSheetId="11"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kj8" localSheetId="5"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kj8" localSheetId="4"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kj8"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_MOA1" localSheetId="3" hidden="1">{#N/A,#N/A,FALSE,"DEF1";#N/A,#N/A,FALSE,"DEF2";#N/A,#N/A,FALSE,"DEF3"}</definedName>
    <definedName name="__MOA1" localSheetId="6" hidden="1">{#N/A,#N/A,FALSE,"DEF1";#N/A,#N/A,FALSE,"DEF2";#N/A,#N/A,FALSE,"DEF3"}</definedName>
    <definedName name="__MOA1" localSheetId="7" hidden="1">{#N/A,#N/A,FALSE,"DEF1";#N/A,#N/A,FALSE,"DEF2";#N/A,#N/A,FALSE,"DEF3"}</definedName>
    <definedName name="__MOA1" localSheetId="10" hidden="1">{#N/A,#N/A,FALSE,"DEF1";#N/A,#N/A,FALSE,"DEF2";#N/A,#N/A,FALSE,"DEF3"}</definedName>
    <definedName name="__MOA1" localSheetId="11" hidden="1">{#N/A,#N/A,FALSE,"DEF1";#N/A,#N/A,FALSE,"DEF2";#N/A,#N/A,FALSE,"DEF3"}</definedName>
    <definedName name="__MOA1" localSheetId="5" hidden="1">{#N/A,#N/A,FALSE,"DEF1";#N/A,#N/A,FALSE,"DEF2";#N/A,#N/A,FALSE,"DEF3"}</definedName>
    <definedName name="__MOA1" localSheetId="4" hidden="1">{#N/A,#N/A,FALSE,"DEF1";#N/A,#N/A,FALSE,"DEF2";#N/A,#N/A,FALSE,"DEF3"}</definedName>
    <definedName name="__MOA1" hidden="1">{#N/A,#N/A,FALSE,"DEF1";#N/A,#N/A,FALSE,"DEF2";#N/A,#N/A,FALSE,"DEF3"}</definedName>
    <definedName name="__MOA2" localSheetId="3" hidden="1">{#N/A,#N/A,FALSE,"DEF1";#N/A,#N/A,FALSE,"DEF2";#N/A,#N/A,FALSE,"DEF3"}</definedName>
    <definedName name="__MOA2" localSheetId="6" hidden="1">{#N/A,#N/A,FALSE,"DEF1";#N/A,#N/A,FALSE,"DEF2";#N/A,#N/A,FALSE,"DEF3"}</definedName>
    <definedName name="__MOA2" localSheetId="7" hidden="1">{#N/A,#N/A,FALSE,"DEF1";#N/A,#N/A,FALSE,"DEF2";#N/A,#N/A,FALSE,"DEF3"}</definedName>
    <definedName name="__MOA2" localSheetId="10" hidden="1">{#N/A,#N/A,FALSE,"DEF1";#N/A,#N/A,FALSE,"DEF2";#N/A,#N/A,FALSE,"DEF3"}</definedName>
    <definedName name="__MOA2" localSheetId="11" hidden="1">{#N/A,#N/A,FALSE,"DEF1";#N/A,#N/A,FALSE,"DEF2";#N/A,#N/A,FALSE,"DEF3"}</definedName>
    <definedName name="__MOA2" localSheetId="5" hidden="1">{#N/A,#N/A,FALSE,"DEF1";#N/A,#N/A,FALSE,"DEF2";#N/A,#N/A,FALSE,"DEF3"}</definedName>
    <definedName name="__MOA2" localSheetId="4" hidden="1">{#N/A,#N/A,FALSE,"DEF1";#N/A,#N/A,FALSE,"DEF2";#N/A,#N/A,FALSE,"DEF3"}</definedName>
    <definedName name="__MOA2" hidden="1">{#N/A,#N/A,FALSE,"DEF1";#N/A,#N/A,FALSE,"DEF2";#N/A,#N/A,FALSE,"DEF3"}</definedName>
    <definedName name="__n2" localSheetId="3" hidden="1">{#N/A,#N/A,FALSE,"PCOL"}</definedName>
    <definedName name="__n2" localSheetId="6" hidden="1">{#N/A,#N/A,FALSE,"PCOL"}</definedName>
    <definedName name="__n2" localSheetId="7" hidden="1">{#N/A,#N/A,FALSE,"PCOL"}</definedName>
    <definedName name="__n2" localSheetId="10" hidden="1">{#N/A,#N/A,FALSE,"PCOL"}</definedName>
    <definedName name="__n2" localSheetId="11" hidden="1">{#N/A,#N/A,FALSE,"PCOL"}</definedName>
    <definedName name="__n2" localSheetId="5" hidden="1">{#N/A,#N/A,FALSE,"PCOL"}</definedName>
    <definedName name="__n2" localSheetId="4" hidden="1">{#N/A,#N/A,FALSE,"PCOL"}</definedName>
    <definedName name="__n2" hidden="1">{#N/A,#N/A,FALSE,"PCOL"}</definedName>
    <definedName name="__PN10" localSheetId="3" hidden="1">{"'gráf jan00'!$A$1:$AK$41"}</definedName>
    <definedName name="__PN10" localSheetId="6" hidden="1">{"'gráf jan00'!$A$1:$AK$41"}</definedName>
    <definedName name="__PN10" localSheetId="7" hidden="1">{"'gráf jan00'!$A$1:$AK$41"}</definedName>
    <definedName name="__PN10" localSheetId="10" hidden="1">{"'gráf jan00'!$A$1:$AK$41"}</definedName>
    <definedName name="__PN10" localSheetId="11" hidden="1">{"'gráf jan00'!$A$1:$AK$41"}</definedName>
    <definedName name="__PN10" localSheetId="5" hidden="1">{"'gráf jan00'!$A$1:$AK$41"}</definedName>
    <definedName name="__PN10" localSheetId="4" hidden="1">{"'gráf jan00'!$A$1:$AK$41"}</definedName>
    <definedName name="__PN10" hidden="1">{"'gráf jan00'!$A$1:$AK$41"}</definedName>
    <definedName name="__r" localSheetId="3" hidden="1">{#N/A,#N/A,FALSE,"PCOL"}</definedName>
    <definedName name="__r" localSheetId="6" hidden="1">{#N/A,#N/A,FALSE,"PCOL"}</definedName>
    <definedName name="__r" localSheetId="7" hidden="1">{#N/A,#N/A,FALSE,"PCOL"}</definedName>
    <definedName name="__r" localSheetId="10" hidden="1">{#N/A,#N/A,FALSE,"PCOL"}</definedName>
    <definedName name="__r" localSheetId="11" hidden="1">{#N/A,#N/A,FALSE,"PCOL"}</definedName>
    <definedName name="__r" localSheetId="5" hidden="1">{#N/A,#N/A,FALSE,"PCOL"}</definedName>
    <definedName name="__r" localSheetId="4" hidden="1">{#N/A,#N/A,FALSE,"PCOL"}</definedName>
    <definedName name="__r" hidden="1">{#N/A,#N/A,FALSE,"PCOL"}</definedName>
    <definedName name="__SE2">#REF!</definedName>
    <definedName name="__x1" localSheetId="3"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__x1" localSheetId="6"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__x1" localSheetId="7"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__x1" localSheetId="10"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__x1" localSheetId="11"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__x1" localSheetId="5"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__x1" localSheetId="4"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__x1" localSheetId="1"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__x1" localSheetId="2"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__x1"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_1__123Graph_ACHART_1" hidden="1">[3]OP079907!#REF!</definedName>
    <definedName name="_1__123Graph_BGrßfico_10C" localSheetId="3" hidden="1">#REF!</definedName>
    <definedName name="_1__123Graph_BGrßfico_10C" localSheetId="6" hidden="1">#REF!</definedName>
    <definedName name="_1__123Graph_BGrßfico_10C" localSheetId="7" hidden="1">#REF!</definedName>
    <definedName name="_1__123Graph_BGrßfico_10C" localSheetId="10" hidden="1">#REF!</definedName>
    <definedName name="_1__123Graph_BGrßfico_10C" localSheetId="11" hidden="1">#REF!</definedName>
    <definedName name="_1__123Graph_BGrßfico_10C" hidden="1">#REF!</definedName>
    <definedName name="_10__123Graph_BCHART_2" localSheetId="3" hidden="1">[4]Premissas!#REF!</definedName>
    <definedName name="_10__123Graph_BCHART_2" localSheetId="6" hidden="1">[4]Premissas!#REF!</definedName>
    <definedName name="_10__123Graph_BCHART_2" localSheetId="10" hidden="1">[4]Premissas!#REF!</definedName>
    <definedName name="_10__123Graph_BCHART_2" localSheetId="11" hidden="1">[4]Premissas!#REF!</definedName>
    <definedName name="_10__123Graph_BCHART_2" hidden="1">[4]Premissas!#REF!</definedName>
    <definedName name="_10__123Graph_FCHART_1" localSheetId="10" hidden="1">[5]EAIGESEN!#REF!</definedName>
    <definedName name="_10__123Graph_FCHART_1" localSheetId="11" hidden="1">[5]EAIGESEN!#REF!</definedName>
    <definedName name="_10__123Graph_FCHART_1" hidden="1">[5]EAIGESEN!#REF!</definedName>
    <definedName name="_11__123Graph_XCHART_3" localSheetId="10" hidden="1">[6]estgg!#REF!</definedName>
    <definedName name="_11__123Graph_XCHART_3" localSheetId="11" hidden="1">[6]estgg!#REF!</definedName>
    <definedName name="_11__123Graph_XCHART_3" hidden="1">[6]estgg!#REF!</definedName>
    <definedName name="_14__123Graph_BCHART_1" localSheetId="10" hidden="1">[5]EAIGESEN!#REF!</definedName>
    <definedName name="_14__123Graph_BCHART_1" localSheetId="11" hidden="1">[5]EAIGESEN!#REF!</definedName>
    <definedName name="_14__123Graph_BCHART_1" hidden="1">[5]EAIGESEN!#REF!</definedName>
    <definedName name="_15__123Graph_CCHART_2" hidden="1">[4]Premissas!#REF!</definedName>
    <definedName name="_19__123Graph_CCHART_1" hidden="1">[5]EAIGESEN!#REF!</definedName>
    <definedName name="_1ESQ_MADEIRA">#N/A</definedName>
    <definedName name="_2__123Graph_ACHART_3" hidden="1">[5]EAIGESEN!$O$16:$O$17</definedName>
    <definedName name="_2__123Graph_BCHART_1" localSheetId="3" hidden="1">[3]OP079907!#REF!</definedName>
    <definedName name="_2__123Graph_BCHART_1" localSheetId="6" hidden="1">[3]OP079907!#REF!</definedName>
    <definedName name="_2__123Graph_BCHART_1" localSheetId="7" hidden="1">[3]OP079907!#REF!</definedName>
    <definedName name="_2__123Graph_BCHART_1" localSheetId="10" hidden="1">[3]OP079907!#REF!</definedName>
    <definedName name="_2__123Graph_BCHART_1" localSheetId="11" hidden="1">[3]OP079907!#REF!</definedName>
    <definedName name="_2__123Graph_BCHART_1" hidden="1">[3]OP079907!#REF!</definedName>
    <definedName name="_20__123Graph_DCHART_2" localSheetId="3" hidden="1">[4]Premissas!#REF!</definedName>
    <definedName name="_20__123Graph_DCHART_2" localSheetId="6" hidden="1">[4]Premissas!#REF!</definedName>
    <definedName name="_20__123Graph_DCHART_2" localSheetId="7" hidden="1">[4]Premissas!#REF!</definedName>
    <definedName name="_20__123Graph_DCHART_2" localSheetId="10" hidden="1">[4]Premissas!#REF!</definedName>
    <definedName name="_20__123Graph_DCHART_2" hidden="1">[4]Premissas!#REF!</definedName>
    <definedName name="_24__123Graph_DCHART_1" localSheetId="7" hidden="1">[5]EAIGESEN!#REF!</definedName>
    <definedName name="_24__123Graph_DCHART_1" localSheetId="10" hidden="1">[5]EAIGESEN!#REF!</definedName>
    <definedName name="_24__123Graph_DCHART_1" hidden="1">[5]EAIGESEN!#REF!</definedName>
    <definedName name="_29__123Graph_ECHART_1" localSheetId="7" hidden="1">[5]EAIGESEN!#REF!</definedName>
    <definedName name="_29__123Graph_ECHART_1" localSheetId="10" hidden="1">[5]EAIGESEN!#REF!</definedName>
    <definedName name="_29__123Graph_ECHART_1" hidden="1">[5]EAIGESEN!#REF!</definedName>
    <definedName name="_2ESQ_METÁL">#N/A</definedName>
    <definedName name="_3__123Graph_BCHART_1" hidden="1">[5]EAIGESEN!#REF!</definedName>
    <definedName name="_3__123Graph_XCHART_1" hidden="1">[3]OP079907!$BK$32:$BK$141</definedName>
    <definedName name="_34__123Graph_FCHART_1" localSheetId="3" hidden="1">[5]EAIGESEN!#REF!</definedName>
    <definedName name="_34__123Graph_FCHART_1" localSheetId="6" hidden="1">[5]EAIGESEN!#REF!</definedName>
    <definedName name="_34__123Graph_FCHART_1" localSheetId="7" hidden="1">[5]EAIGESEN!#REF!</definedName>
    <definedName name="_34__123Graph_FCHART_1" localSheetId="10" hidden="1">[5]EAIGESEN!#REF!</definedName>
    <definedName name="_34__123Graph_FCHART_1" localSheetId="11" hidden="1">[5]EAIGESEN!#REF!</definedName>
    <definedName name="_34__123Graph_FCHART_1" hidden="1">[5]EAIGESEN!#REF!</definedName>
    <definedName name="_35__123Graph_XCHART_3" localSheetId="3" hidden="1">[6]estgg!#REF!</definedName>
    <definedName name="_35__123Graph_XCHART_3" localSheetId="6" hidden="1">[6]estgg!#REF!</definedName>
    <definedName name="_35__123Graph_XCHART_3" localSheetId="7" hidden="1">[6]estgg!#REF!</definedName>
    <definedName name="_35__123Graph_XCHART_3" localSheetId="10" hidden="1">[6]estgg!#REF!</definedName>
    <definedName name="_35__123Graph_XCHART_3" hidden="1">[6]estgg!#REF!</definedName>
    <definedName name="_3REV_PAREDES">#N/A</definedName>
    <definedName name="_4__123Graph_ACHART_1" localSheetId="7" hidden="1">[5]EAIGESEN!#REF!</definedName>
    <definedName name="_4__123Graph_ACHART_1" localSheetId="10" hidden="1">[5]EAIGESEN!#REF!</definedName>
    <definedName name="_4__123Graph_ACHART_1" hidden="1">[5]EAIGESEN!#REF!</definedName>
    <definedName name="_4__123Graph_CCHART_1" localSheetId="7" hidden="1">[5]EAIGESEN!#REF!</definedName>
    <definedName name="_4__123Graph_CCHART_1" localSheetId="10" hidden="1">[5]EAIGESEN!#REF!</definedName>
    <definedName name="_4__123Graph_CCHART_1" hidden="1">[5]EAIGESEN!#REF!</definedName>
    <definedName name="_4REV_PISOS">#N/A</definedName>
    <definedName name="_5__123Graph_ACHART_2" hidden="1">[4]Premissas!#REF!</definedName>
    <definedName name="_5__123Graph_ACHART_3" hidden="1">[5]EAIGESEN!$O$11:$O$12</definedName>
    <definedName name="_5__123Graph_DCHART_1" localSheetId="3" hidden="1">[5]EAIGESEN!#REF!</definedName>
    <definedName name="_5__123Graph_DCHART_1" localSheetId="6" hidden="1">[5]EAIGESEN!#REF!</definedName>
    <definedName name="_5__123Graph_DCHART_1" localSheetId="7" hidden="1">[5]EAIGESEN!#REF!</definedName>
    <definedName name="_5__123Graph_DCHART_1" localSheetId="10" hidden="1">[5]EAIGESEN!#REF!</definedName>
    <definedName name="_5__123Graph_DCHART_1" localSheetId="11" hidden="1">[5]EAIGESEN!#REF!</definedName>
    <definedName name="_5__123Graph_DCHART_1" hidden="1">[5]EAIGESEN!#REF!</definedName>
    <definedName name="_6__123Graph_BCHART_1" localSheetId="3" hidden="1">[5]EAIGESEN!#REF!</definedName>
    <definedName name="_6__123Graph_BCHART_1" localSheetId="6" hidden="1">[5]EAIGESEN!#REF!</definedName>
    <definedName name="_6__123Graph_BCHART_1" localSheetId="7" hidden="1">[5]EAIGESEN!#REF!</definedName>
    <definedName name="_6__123Graph_BCHART_1" localSheetId="10" hidden="1">[5]EAIGESEN!#REF!</definedName>
    <definedName name="_6__123Graph_BCHART_1" hidden="1">[5]EAIGESEN!#REF!</definedName>
    <definedName name="_6__123Graph_ECHART_1" localSheetId="7" hidden="1">[5]EAIGESEN!#REF!</definedName>
    <definedName name="_6__123Graph_ECHART_1" localSheetId="10" hidden="1">[5]EAIGESEN!#REF!</definedName>
    <definedName name="_6__123Graph_ECHART_1" hidden="1">[5]EAIGESEN!#REF!</definedName>
    <definedName name="_7__123Graph_CCHART_1" localSheetId="7" hidden="1">[5]EAIGESEN!#REF!</definedName>
    <definedName name="_7__123Graph_CCHART_1" localSheetId="10" hidden="1">[5]EAIGESEN!#REF!</definedName>
    <definedName name="_7__123Graph_CCHART_1" hidden="1">[5]EAIGESEN!#REF!</definedName>
    <definedName name="_7__123Graph_FCHART_1" hidden="1">[5]EAIGESEN!#REF!</definedName>
    <definedName name="_8__123Graph_ACHART_1" hidden="1">[5]EAIGESEN!#REF!</definedName>
    <definedName name="_8__123Graph_DCHART_1" hidden="1">[5]EAIGESEN!#REF!</definedName>
    <definedName name="_8__123Graph_XCHART_3" hidden="1">[6]estgg!#REF!</definedName>
    <definedName name="_899" localSheetId="3" hidden="1">#REF!</definedName>
    <definedName name="_899" localSheetId="6" hidden="1">#REF!</definedName>
    <definedName name="_899" localSheetId="7" hidden="1">#REF!</definedName>
    <definedName name="_899" localSheetId="10" hidden="1">#REF!</definedName>
    <definedName name="_899" localSheetId="11" hidden="1">#REF!</definedName>
    <definedName name="_899" hidden="1">#REF!</definedName>
    <definedName name="_9__123Graph_ACHART_3" hidden="1">[5]EAIGESEN!$O$11:$O$12</definedName>
    <definedName name="_9__123Graph_ECHART_1" localSheetId="3" hidden="1">[5]EAIGESEN!#REF!</definedName>
    <definedName name="_9__123Graph_ECHART_1" localSheetId="6" hidden="1">[5]EAIGESEN!#REF!</definedName>
    <definedName name="_9__123Graph_ECHART_1" localSheetId="7" hidden="1">[5]EAIGESEN!#REF!</definedName>
    <definedName name="_9__123Graph_ECHART_1" localSheetId="10" hidden="1">[5]EAIGESEN!#REF!</definedName>
    <definedName name="_9__123Graph_ECHART_1" localSheetId="11" hidden="1">[5]EAIGESEN!#REF!</definedName>
    <definedName name="_9__123Graph_ECHART_1" hidden="1">[5]EAIGESEN!#REF!</definedName>
    <definedName name="_a999" localSheetId="3" hidden="1">{#N/A,#N/A,FALSE,"ANEXO3 99 ERA";#N/A,#N/A,FALSE,"ANEXO3 99 UBÁ2";#N/A,#N/A,FALSE,"ANEXO3 99 DTU";#N/A,#N/A,FALSE,"ANEXO3 99 RDR";#N/A,#N/A,FALSE,"ANEXO3 99 UBÁ4";#N/A,#N/A,FALSE,"ANEXO3 99 UBÁ6"}</definedName>
    <definedName name="_a999" localSheetId="6" hidden="1">{#N/A,#N/A,FALSE,"ANEXO3 99 ERA";#N/A,#N/A,FALSE,"ANEXO3 99 UBÁ2";#N/A,#N/A,FALSE,"ANEXO3 99 DTU";#N/A,#N/A,FALSE,"ANEXO3 99 RDR";#N/A,#N/A,FALSE,"ANEXO3 99 UBÁ4";#N/A,#N/A,FALSE,"ANEXO3 99 UBÁ6"}</definedName>
    <definedName name="_a999" localSheetId="7" hidden="1">{#N/A,#N/A,FALSE,"ANEXO3 99 ERA";#N/A,#N/A,FALSE,"ANEXO3 99 UBÁ2";#N/A,#N/A,FALSE,"ANEXO3 99 DTU";#N/A,#N/A,FALSE,"ANEXO3 99 RDR";#N/A,#N/A,FALSE,"ANEXO3 99 UBÁ4";#N/A,#N/A,FALSE,"ANEXO3 99 UBÁ6"}</definedName>
    <definedName name="_a999" localSheetId="10" hidden="1">{#N/A,#N/A,FALSE,"ANEXO3 99 ERA";#N/A,#N/A,FALSE,"ANEXO3 99 UBÁ2";#N/A,#N/A,FALSE,"ANEXO3 99 DTU";#N/A,#N/A,FALSE,"ANEXO3 99 RDR";#N/A,#N/A,FALSE,"ANEXO3 99 UBÁ4";#N/A,#N/A,FALSE,"ANEXO3 99 UBÁ6"}</definedName>
    <definedName name="_a999" localSheetId="11" hidden="1">{#N/A,#N/A,FALSE,"ANEXO3 99 ERA";#N/A,#N/A,FALSE,"ANEXO3 99 UBÁ2";#N/A,#N/A,FALSE,"ANEXO3 99 DTU";#N/A,#N/A,FALSE,"ANEXO3 99 RDR";#N/A,#N/A,FALSE,"ANEXO3 99 UBÁ4";#N/A,#N/A,FALSE,"ANEXO3 99 UBÁ6"}</definedName>
    <definedName name="_a999" localSheetId="5" hidden="1">{#N/A,#N/A,FALSE,"ANEXO3 99 ERA";#N/A,#N/A,FALSE,"ANEXO3 99 UBÁ2";#N/A,#N/A,FALSE,"ANEXO3 99 DTU";#N/A,#N/A,FALSE,"ANEXO3 99 RDR";#N/A,#N/A,FALSE,"ANEXO3 99 UBÁ4";#N/A,#N/A,FALSE,"ANEXO3 99 UBÁ6"}</definedName>
    <definedName name="_a999" localSheetId="4" hidden="1">{#N/A,#N/A,FALSE,"ANEXO3 99 ERA";#N/A,#N/A,FALSE,"ANEXO3 99 UBÁ2";#N/A,#N/A,FALSE,"ANEXO3 99 DTU";#N/A,#N/A,FALSE,"ANEXO3 99 RDR";#N/A,#N/A,FALSE,"ANEXO3 99 UBÁ4";#N/A,#N/A,FALSE,"ANEXO3 99 UBÁ6"}</definedName>
    <definedName name="_a999" hidden="1">{#N/A,#N/A,FALSE,"ANEXO3 99 ERA";#N/A,#N/A,FALSE,"ANEXO3 99 UBÁ2";#N/A,#N/A,FALSE,"ANEXO3 99 DTU";#N/A,#N/A,FALSE,"ANEXO3 99 RDR";#N/A,#N/A,FALSE,"ANEXO3 99 UBÁ4";#N/A,#N/A,FALSE,"ANEXO3 99 UBÁ6"}</definedName>
    <definedName name="_adm1" localSheetId="3" hidden="1">{"'Índice'!$A$1:$K$49"}</definedName>
    <definedName name="_adm1" localSheetId="6" hidden="1">{"'Índice'!$A$1:$K$49"}</definedName>
    <definedName name="_adm1" localSheetId="7" hidden="1">{"'Índice'!$A$1:$K$49"}</definedName>
    <definedName name="_adm1" localSheetId="10" hidden="1">{"'Índice'!$A$1:$K$49"}</definedName>
    <definedName name="_adm1" localSheetId="11" hidden="1">{"'Índice'!$A$1:$K$49"}</definedName>
    <definedName name="_adm1" localSheetId="5" hidden="1">{"'Índice'!$A$1:$K$49"}</definedName>
    <definedName name="_adm1" localSheetId="4" hidden="1">{"'Índice'!$A$1:$K$49"}</definedName>
    <definedName name="_adm1" hidden="1">{"'Índice'!$A$1:$K$49"}</definedName>
    <definedName name="_adm2" localSheetId="3" hidden="1">{"VENTAS1",#N/A,FALSE,"VENTAS";"VENTAS2",#N/A,FALSE,"VENTAS";"VENTAS3",#N/A,FALSE,"VENTAS";"VENTAS4",#N/A,FALSE,"VENTAS";"VENTAS5",#N/A,FALSE,"VENTAS";"VENTAS6",#N/A,FALSE,"VENTAS";"VENTAS7",#N/A,FALSE,"VENTAS";"VENTAS8",#N/A,FALSE,"VENTAS"}</definedName>
    <definedName name="_adm2" localSheetId="6" hidden="1">{"VENTAS1",#N/A,FALSE,"VENTAS";"VENTAS2",#N/A,FALSE,"VENTAS";"VENTAS3",#N/A,FALSE,"VENTAS";"VENTAS4",#N/A,FALSE,"VENTAS";"VENTAS5",#N/A,FALSE,"VENTAS";"VENTAS6",#N/A,FALSE,"VENTAS";"VENTAS7",#N/A,FALSE,"VENTAS";"VENTAS8",#N/A,FALSE,"VENTAS"}</definedName>
    <definedName name="_adm2" localSheetId="7" hidden="1">{"VENTAS1",#N/A,FALSE,"VENTAS";"VENTAS2",#N/A,FALSE,"VENTAS";"VENTAS3",#N/A,FALSE,"VENTAS";"VENTAS4",#N/A,FALSE,"VENTAS";"VENTAS5",#N/A,FALSE,"VENTAS";"VENTAS6",#N/A,FALSE,"VENTAS";"VENTAS7",#N/A,FALSE,"VENTAS";"VENTAS8",#N/A,FALSE,"VENTAS"}</definedName>
    <definedName name="_adm2" localSheetId="10" hidden="1">{"VENTAS1",#N/A,FALSE,"VENTAS";"VENTAS2",#N/A,FALSE,"VENTAS";"VENTAS3",#N/A,FALSE,"VENTAS";"VENTAS4",#N/A,FALSE,"VENTAS";"VENTAS5",#N/A,FALSE,"VENTAS";"VENTAS6",#N/A,FALSE,"VENTAS";"VENTAS7",#N/A,FALSE,"VENTAS";"VENTAS8",#N/A,FALSE,"VENTAS"}</definedName>
    <definedName name="_adm2" localSheetId="11" hidden="1">{"VENTAS1",#N/A,FALSE,"VENTAS";"VENTAS2",#N/A,FALSE,"VENTAS";"VENTAS3",#N/A,FALSE,"VENTAS";"VENTAS4",#N/A,FALSE,"VENTAS";"VENTAS5",#N/A,FALSE,"VENTAS";"VENTAS6",#N/A,FALSE,"VENTAS";"VENTAS7",#N/A,FALSE,"VENTAS";"VENTAS8",#N/A,FALSE,"VENTAS"}</definedName>
    <definedName name="_adm2" localSheetId="5" hidden="1">{"VENTAS1",#N/A,FALSE,"VENTAS";"VENTAS2",#N/A,FALSE,"VENTAS";"VENTAS3",#N/A,FALSE,"VENTAS";"VENTAS4",#N/A,FALSE,"VENTAS";"VENTAS5",#N/A,FALSE,"VENTAS";"VENTAS6",#N/A,FALSE,"VENTAS";"VENTAS7",#N/A,FALSE,"VENTAS";"VENTAS8",#N/A,FALSE,"VENTAS"}</definedName>
    <definedName name="_adm2" localSheetId="4" hidden="1">{"VENTAS1",#N/A,FALSE,"VENTAS";"VENTAS2",#N/A,FALSE,"VENTAS";"VENTAS3",#N/A,FALSE,"VENTAS";"VENTAS4",#N/A,FALSE,"VENTAS";"VENTAS5",#N/A,FALSE,"VENTAS";"VENTAS6",#N/A,FALSE,"VENTAS";"VENTAS7",#N/A,FALSE,"VENTAS";"VENTAS8",#N/A,FALSE,"VENTAS"}</definedName>
    <definedName name="_adm2" hidden="1">{"VENTAS1",#N/A,FALSE,"VENTAS";"VENTAS2",#N/A,FALSE,"VENTAS";"VENTAS3",#N/A,FALSE,"VENTAS";"VENTAS4",#N/A,FALSE,"VENTAS";"VENTAS5",#N/A,FALSE,"VENTAS";"VENTAS6",#N/A,FALSE,"VENTAS";"VENTAS7",#N/A,FALSE,"VENTAS";"VENTAS8",#N/A,FALSE,"VENTAS"}</definedName>
    <definedName name="_ago1" localSheetId="3" hidden="1">{"'gráf jan00'!$A$1:$AK$41"}</definedName>
    <definedName name="_ago1" localSheetId="6" hidden="1">{"'gráf jan00'!$A$1:$AK$41"}</definedName>
    <definedName name="_ago1" localSheetId="7" hidden="1">{"'gráf jan00'!$A$1:$AK$41"}</definedName>
    <definedName name="_ago1" localSheetId="10" hidden="1">{"'gráf jan00'!$A$1:$AK$41"}</definedName>
    <definedName name="_ago1" localSheetId="11" hidden="1">{"'gráf jan00'!$A$1:$AK$41"}</definedName>
    <definedName name="_ago1" localSheetId="5" hidden="1">{"'gráf jan00'!$A$1:$AK$41"}</definedName>
    <definedName name="_ago1" localSheetId="4" hidden="1">{"'gráf jan00'!$A$1:$AK$41"}</definedName>
    <definedName name="_ago1" hidden="1">{"'gráf jan00'!$A$1:$AK$41"}</definedName>
    <definedName name="_ago10" localSheetId="3" hidden="1">{"'gráf jan00'!$A$1:$AK$41"}</definedName>
    <definedName name="_ago10" localSheetId="6" hidden="1">{"'gráf jan00'!$A$1:$AK$41"}</definedName>
    <definedName name="_ago10" localSheetId="7" hidden="1">{"'gráf jan00'!$A$1:$AK$41"}</definedName>
    <definedName name="_ago10" localSheetId="10" hidden="1">{"'gráf jan00'!$A$1:$AK$41"}</definedName>
    <definedName name="_ago10" localSheetId="11" hidden="1">{"'gráf jan00'!$A$1:$AK$41"}</definedName>
    <definedName name="_ago10" localSheetId="5" hidden="1">{"'gráf jan00'!$A$1:$AK$41"}</definedName>
    <definedName name="_ago10" localSheetId="4" hidden="1">{"'gráf jan00'!$A$1:$AK$41"}</definedName>
    <definedName name="_ago10" hidden="1">{"'gráf jan00'!$A$1:$AK$41"}</definedName>
    <definedName name="_ago2" localSheetId="3" hidden="1">{"'gráf jan00'!$A$1:$AK$41"}</definedName>
    <definedName name="_ago2" localSheetId="6" hidden="1">{"'gráf jan00'!$A$1:$AK$41"}</definedName>
    <definedName name="_ago2" localSheetId="7" hidden="1">{"'gráf jan00'!$A$1:$AK$41"}</definedName>
    <definedName name="_ago2" localSheetId="10" hidden="1">{"'gráf jan00'!$A$1:$AK$41"}</definedName>
    <definedName name="_ago2" localSheetId="11" hidden="1">{"'gráf jan00'!$A$1:$AK$41"}</definedName>
    <definedName name="_ago2" localSheetId="5" hidden="1">{"'gráf jan00'!$A$1:$AK$41"}</definedName>
    <definedName name="_ago2" localSheetId="4" hidden="1">{"'gráf jan00'!$A$1:$AK$41"}</definedName>
    <definedName name="_ago2" hidden="1">{"'gráf jan00'!$A$1:$AK$41"}</definedName>
    <definedName name="_ago3" localSheetId="3" hidden="1">{"'gráf jan00'!$A$1:$AK$41"}</definedName>
    <definedName name="_ago3" localSheetId="6" hidden="1">{"'gráf jan00'!$A$1:$AK$41"}</definedName>
    <definedName name="_ago3" localSheetId="7" hidden="1">{"'gráf jan00'!$A$1:$AK$41"}</definedName>
    <definedName name="_ago3" localSheetId="10" hidden="1">{"'gráf jan00'!$A$1:$AK$41"}</definedName>
    <definedName name="_ago3" localSheetId="11" hidden="1">{"'gráf jan00'!$A$1:$AK$41"}</definedName>
    <definedName name="_ago3" localSheetId="5" hidden="1">{"'gráf jan00'!$A$1:$AK$41"}</definedName>
    <definedName name="_ago3" localSheetId="4" hidden="1">{"'gráf jan00'!$A$1:$AK$41"}</definedName>
    <definedName name="_ago3" hidden="1">{"'gráf jan00'!$A$1:$AK$41"}</definedName>
    <definedName name="_ago4" localSheetId="3" hidden="1">{"'gráf jan00'!$A$1:$AK$41"}</definedName>
    <definedName name="_ago4" localSheetId="6" hidden="1">{"'gráf jan00'!$A$1:$AK$41"}</definedName>
    <definedName name="_ago4" localSheetId="7" hidden="1">{"'gráf jan00'!$A$1:$AK$41"}</definedName>
    <definedName name="_ago4" localSheetId="10" hidden="1">{"'gráf jan00'!$A$1:$AK$41"}</definedName>
    <definedName name="_ago4" localSheetId="11" hidden="1">{"'gráf jan00'!$A$1:$AK$41"}</definedName>
    <definedName name="_ago4" localSheetId="5" hidden="1">{"'gráf jan00'!$A$1:$AK$41"}</definedName>
    <definedName name="_ago4" localSheetId="4" hidden="1">{"'gráf jan00'!$A$1:$AK$41"}</definedName>
    <definedName name="_ago4" hidden="1">{"'gráf jan00'!$A$1:$AK$41"}</definedName>
    <definedName name="_ago5" localSheetId="3" hidden="1">{"'gráf jan00'!$A$1:$AK$41"}</definedName>
    <definedName name="_ago5" localSheetId="6" hidden="1">{"'gráf jan00'!$A$1:$AK$41"}</definedName>
    <definedName name="_ago5" localSheetId="7" hidden="1">{"'gráf jan00'!$A$1:$AK$41"}</definedName>
    <definedName name="_ago5" localSheetId="10" hidden="1">{"'gráf jan00'!$A$1:$AK$41"}</definedName>
    <definedName name="_ago5" localSheetId="11" hidden="1">{"'gráf jan00'!$A$1:$AK$41"}</definedName>
    <definedName name="_ago5" localSheetId="5" hidden="1">{"'gráf jan00'!$A$1:$AK$41"}</definedName>
    <definedName name="_ago5" localSheetId="4" hidden="1">{"'gráf jan00'!$A$1:$AK$41"}</definedName>
    <definedName name="_ago5" hidden="1">{"'gráf jan00'!$A$1:$AK$41"}</definedName>
    <definedName name="_ago6" localSheetId="3" hidden="1">{"'gráf jan00'!$A$1:$AK$41"}</definedName>
    <definedName name="_ago6" localSheetId="6" hidden="1">{"'gráf jan00'!$A$1:$AK$41"}</definedName>
    <definedName name="_ago6" localSheetId="7" hidden="1">{"'gráf jan00'!$A$1:$AK$41"}</definedName>
    <definedName name="_ago6" localSheetId="10" hidden="1">{"'gráf jan00'!$A$1:$AK$41"}</definedName>
    <definedName name="_ago6" localSheetId="11" hidden="1">{"'gráf jan00'!$A$1:$AK$41"}</definedName>
    <definedName name="_ago6" localSheetId="5" hidden="1">{"'gráf jan00'!$A$1:$AK$41"}</definedName>
    <definedName name="_ago6" localSheetId="4" hidden="1">{"'gráf jan00'!$A$1:$AK$41"}</definedName>
    <definedName name="_ago6" hidden="1">{"'gráf jan00'!$A$1:$AK$41"}</definedName>
    <definedName name="_ago7" localSheetId="3" hidden="1">{"'gráf jan00'!$A$1:$AK$41"}</definedName>
    <definedName name="_ago7" localSheetId="6" hidden="1">{"'gráf jan00'!$A$1:$AK$41"}</definedName>
    <definedName name="_ago7" localSheetId="7" hidden="1">{"'gráf jan00'!$A$1:$AK$41"}</definedName>
    <definedName name="_ago7" localSheetId="10" hidden="1">{"'gráf jan00'!$A$1:$AK$41"}</definedName>
    <definedName name="_ago7" localSheetId="11" hidden="1">{"'gráf jan00'!$A$1:$AK$41"}</definedName>
    <definedName name="_ago7" localSheetId="5" hidden="1">{"'gráf jan00'!$A$1:$AK$41"}</definedName>
    <definedName name="_ago7" localSheetId="4" hidden="1">{"'gráf jan00'!$A$1:$AK$41"}</definedName>
    <definedName name="_ago7" hidden="1">{"'gráf jan00'!$A$1:$AK$41"}</definedName>
    <definedName name="_ago8" localSheetId="3" hidden="1">{"'gráf jan00'!$A$1:$AK$41"}</definedName>
    <definedName name="_ago8" localSheetId="6" hidden="1">{"'gráf jan00'!$A$1:$AK$41"}</definedName>
    <definedName name="_ago8" localSheetId="7" hidden="1">{"'gráf jan00'!$A$1:$AK$41"}</definedName>
    <definedName name="_ago8" localSheetId="10" hidden="1">{"'gráf jan00'!$A$1:$AK$41"}</definedName>
    <definedName name="_ago8" localSheetId="11" hidden="1">{"'gráf jan00'!$A$1:$AK$41"}</definedName>
    <definedName name="_ago8" localSheetId="5" hidden="1">{"'gráf jan00'!$A$1:$AK$41"}</definedName>
    <definedName name="_ago8" localSheetId="4" hidden="1">{"'gráf jan00'!$A$1:$AK$41"}</definedName>
    <definedName name="_ago8" hidden="1">{"'gráf jan00'!$A$1:$AK$41"}</definedName>
    <definedName name="_ago9" localSheetId="3" hidden="1">{"'gráf jan00'!$A$1:$AK$41"}</definedName>
    <definedName name="_ago9" localSheetId="6" hidden="1">{"'gráf jan00'!$A$1:$AK$41"}</definedName>
    <definedName name="_ago9" localSheetId="7" hidden="1">{"'gráf jan00'!$A$1:$AK$41"}</definedName>
    <definedName name="_ago9" localSheetId="10" hidden="1">{"'gráf jan00'!$A$1:$AK$41"}</definedName>
    <definedName name="_ago9" localSheetId="11" hidden="1">{"'gráf jan00'!$A$1:$AK$41"}</definedName>
    <definedName name="_ago9" localSheetId="5" hidden="1">{"'gráf jan00'!$A$1:$AK$41"}</definedName>
    <definedName name="_ago9" localSheetId="4" hidden="1">{"'gráf jan00'!$A$1:$AK$41"}</definedName>
    <definedName name="_ago9" hidden="1">{"'gráf jan00'!$A$1:$AK$41"}</definedName>
    <definedName name="_ago99999" localSheetId="3" hidden="1">{"'gráf jan00'!$A$1:$AK$41"}</definedName>
    <definedName name="_ago99999" localSheetId="6" hidden="1">{"'gráf jan00'!$A$1:$AK$41"}</definedName>
    <definedName name="_ago99999" localSheetId="7" hidden="1">{"'gráf jan00'!$A$1:$AK$41"}</definedName>
    <definedName name="_ago99999" localSheetId="10" hidden="1">{"'gráf jan00'!$A$1:$AK$41"}</definedName>
    <definedName name="_ago99999" localSheetId="11" hidden="1">{"'gráf jan00'!$A$1:$AK$41"}</definedName>
    <definedName name="_ago99999" localSheetId="5" hidden="1">{"'gráf jan00'!$A$1:$AK$41"}</definedName>
    <definedName name="_ago99999" localSheetId="4" hidden="1">{"'gráf jan00'!$A$1:$AK$41"}</definedName>
    <definedName name="_ago99999" hidden="1">{"'gráf jan00'!$A$1:$AK$41"}</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cc1" localSheetId="3" hidden="1">{#N/A,#N/A,FALSE,"Skjema 6.1 ";#N/A,#N/A,FALSE,"Skjema 6.2";#N/A,#N/A,FALSE,"Skjema 6.3";#N/A,#N/A,FALSE,"Skjema 6.4 ";#N/A,#N/A,FALSE,"Skjema 6.5";#N/A,#N/A,FALSE,"Skjema 6.6 ";#N/A,#N/A,FALSE,"Skjema 6.7 ";#N/A,#N/A,FALSE,"Skjema 6.8 ";#N/A,#N/A,FALSE,"Skjema 6.9";#N/A,#N/A,FALSE,"Skjema 6.10 ";#N/A,#N/A,FALSE,"Skjema 6.11 ";#N/A,#N/A,FALSE,"Skjema 6.12 ";#N/A,#N/A,FALSE,"Skjema 6.13 ";#N/A,#N/A,FALSE,"Skjema 6.14";#N/A,#N/A,FALSE,"Skjema 6.15 ";#N/A,#N/A,FALSE,"Skjema 6.16 ";#N/A,#N/A,FALSE,"Skjema 6.17 ";#N/A,#N/A,FALSE,"Skjema 6.18 ";#N/A,#N/A,FALSE,"Skjema 6.19 ";#N/A,#N/A,FALSE,"Skjema 6.20 ";#N/A,#N/A,FALSE,"Skjema 6.21";#N/A,#N/A,FALSE,"Skjema 6.22 ";#N/A,#N/A,FALSE,"Skjema 6.23 ";#N/A,#N/A,FALSE,"Skjema 6.24 ";#N/A,#N/A,FALSE,"Skjema 6.25";#N/A,#N/A,FALSE,"Skjema 6.26 ";#N/A,#N/A,FALSE,"Skjema 6.27";#N/A,#N/A,FALSE,"Skjema 6.28 ";#N/A,#N/A,FALSE,"Skjema 6.29";#N/A,#N/A,FALSE,"Skjema 6.30";#N/A,#N/A,FALSE,"Skjema 6.31";#N/A,#N/A,FALSE,"Skjema 6.31b"}</definedName>
    <definedName name="_cc1" localSheetId="6" hidden="1">{#N/A,#N/A,FALSE,"Skjema 6.1 ";#N/A,#N/A,FALSE,"Skjema 6.2";#N/A,#N/A,FALSE,"Skjema 6.3";#N/A,#N/A,FALSE,"Skjema 6.4 ";#N/A,#N/A,FALSE,"Skjema 6.5";#N/A,#N/A,FALSE,"Skjema 6.6 ";#N/A,#N/A,FALSE,"Skjema 6.7 ";#N/A,#N/A,FALSE,"Skjema 6.8 ";#N/A,#N/A,FALSE,"Skjema 6.9";#N/A,#N/A,FALSE,"Skjema 6.10 ";#N/A,#N/A,FALSE,"Skjema 6.11 ";#N/A,#N/A,FALSE,"Skjema 6.12 ";#N/A,#N/A,FALSE,"Skjema 6.13 ";#N/A,#N/A,FALSE,"Skjema 6.14";#N/A,#N/A,FALSE,"Skjema 6.15 ";#N/A,#N/A,FALSE,"Skjema 6.16 ";#N/A,#N/A,FALSE,"Skjema 6.17 ";#N/A,#N/A,FALSE,"Skjema 6.18 ";#N/A,#N/A,FALSE,"Skjema 6.19 ";#N/A,#N/A,FALSE,"Skjema 6.20 ";#N/A,#N/A,FALSE,"Skjema 6.21";#N/A,#N/A,FALSE,"Skjema 6.22 ";#N/A,#N/A,FALSE,"Skjema 6.23 ";#N/A,#N/A,FALSE,"Skjema 6.24 ";#N/A,#N/A,FALSE,"Skjema 6.25";#N/A,#N/A,FALSE,"Skjema 6.26 ";#N/A,#N/A,FALSE,"Skjema 6.27";#N/A,#N/A,FALSE,"Skjema 6.28 ";#N/A,#N/A,FALSE,"Skjema 6.29";#N/A,#N/A,FALSE,"Skjema 6.30";#N/A,#N/A,FALSE,"Skjema 6.31";#N/A,#N/A,FALSE,"Skjema 6.31b"}</definedName>
    <definedName name="_cc1" localSheetId="7" hidden="1">{#N/A,#N/A,FALSE,"Skjema 6.1 ";#N/A,#N/A,FALSE,"Skjema 6.2";#N/A,#N/A,FALSE,"Skjema 6.3";#N/A,#N/A,FALSE,"Skjema 6.4 ";#N/A,#N/A,FALSE,"Skjema 6.5";#N/A,#N/A,FALSE,"Skjema 6.6 ";#N/A,#N/A,FALSE,"Skjema 6.7 ";#N/A,#N/A,FALSE,"Skjema 6.8 ";#N/A,#N/A,FALSE,"Skjema 6.9";#N/A,#N/A,FALSE,"Skjema 6.10 ";#N/A,#N/A,FALSE,"Skjema 6.11 ";#N/A,#N/A,FALSE,"Skjema 6.12 ";#N/A,#N/A,FALSE,"Skjema 6.13 ";#N/A,#N/A,FALSE,"Skjema 6.14";#N/A,#N/A,FALSE,"Skjema 6.15 ";#N/A,#N/A,FALSE,"Skjema 6.16 ";#N/A,#N/A,FALSE,"Skjema 6.17 ";#N/A,#N/A,FALSE,"Skjema 6.18 ";#N/A,#N/A,FALSE,"Skjema 6.19 ";#N/A,#N/A,FALSE,"Skjema 6.20 ";#N/A,#N/A,FALSE,"Skjema 6.21";#N/A,#N/A,FALSE,"Skjema 6.22 ";#N/A,#N/A,FALSE,"Skjema 6.23 ";#N/A,#N/A,FALSE,"Skjema 6.24 ";#N/A,#N/A,FALSE,"Skjema 6.25";#N/A,#N/A,FALSE,"Skjema 6.26 ";#N/A,#N/A,FALSE,"Skjema 6.27";#N/A,#N/A,FALSE,"Skjema 6.28 ";#N/A,#N/A,FALSE,"Skjema 6.29";#N/A,#N/A,FALSE,"Skjema 6.30";#N/A,#N/A,FALSE,"Skjema 6.31";#N/A,#N/A,FALSE,"Skjema 6.31b"}</definedName>
    <definedName name="_cc1" localSheetId="10" hidden="1">{#N/A,#N/A,FALSE,"Skjema 6.1 ";#N/A,#N/A,FALSE,"Skjema 6.2";#N/A,#N/A,FALSE,"Skjema 6.3";#N/A,#N/A,FALSE,"Skjema 6.4 ";#N/A,#N/A,FALSE,"Skjema 6.5";#N/A,#N/A,FALSE,"Skjema 6.6 ";#N/A,#N/A,FALSE,"Skjema 6.7 ";#N/A,#N/A,FALSE,"Skjema 6.8 ";#N/A,#N/A,FALSE,"Skjema 6.9";#N/A,#N/A,FALSE,"Skjema 6.10 ";#N/A,#N/A,FALSE,"Skjema 6.11 ";#N/A,#N/A,FALSE,"Skjema 6.12 ";#N/A,#N/A,FALSE,"Skjema 6.13 ";#N/A,#N/A,FALSE,"Skjema 6.14";#N/A,#N/A,FALSE,"Skjema 6.15 ";#N/A,#N/A,FALSE,"Skjema 6.16 ";#N/A,#N/A,FALSE,"Skjema 6.17 ";#N/A,#N/A,FALSE,"Skjema 6.18 ";#N/A,#N/A,FALSE,"Skjema 6.19 ";#N/A,#N/A,FALSE,"Skjema 6.20 ";#N/A,#N/A,FALSE,"Skjema 6.21";#N/A,#N/A,FALSE,"Skjema 6.22 ";#N/A,#N/A,FALSE,"Skjema 6.23 ";#N/A,#N/A,FALSE,"Skjema 6.24 ";#N/A,#N/A,FALSE,"Skjema 6.25";#N/A,#N/A,FALSE,"Skjema 6.26 ";#N/A,#N/A,FALSE,"Skjema 6.27";#N/A,#N/A,FALSE,"Skjema 6.28 ";#N/A,#N/A,FALSE,"Skjema 6.29";#N/A,#N/A,FALSE,"Skjema 6.30";#N/A,#N/A,FALSE,"Skjema 6.31";#N/A,#N/A,FALSE,"Skjema 6.31b"}</definedName>
    <definedName name="_cc1" localSheetId="11" hidden="1">{#N/A,#N/A,FALSE,"Skjema 6.1 ";#N/A,#N/A,FALSE,"Skjema 6.2";#N/A,#N/A,FALSE,"Skjema 6.3";#N/A,#N/A,FALSE,"Skjema 6.4 ";#N/A,#N/A,FALSE,"Skjema 6.5";#N/A,#N/A,FALSE,"Skjema 6.6 ";#N/A,#N/A,FALSE,"Skjema 6.7 ";#N/A,#N/A,FALSE,"Skjema 6.8 ";#N/A,#N/A,FALSE,"Skjema 6.9";#N/A,#N/A,FALSE,"Skjema 6.10 ";#N/A,#N/A,FALSE,"Skjema 6.11 ";#N/A,#N/A,FALSE,"Skjema 6.12 ";#N/A,#N/A,FALSE,"Skjema 6.13 ";#N/A,#N/A,FALSE,"Skjema 6.14";#N/A,#N/A,FALSE,"Skjema 6.15 ";#N/A,#N/A,FALSE,"Skjema 6.16 ";#N/A,#N/A,FALSE,"Skjema 6.17 ";#N/A,#N/A,FALSE,"Skjema 6.18 ";#N/A,#N/A,FALSE,"Skjema 6.19 ";#N/A,#N/A,FALSE,"Skjema 6.20 ";#N/A,#N/A,FALSE,"Skjema 6.21";#N/A,#N/A,FALSE,"Skjema 6.22 ";#N/A,#N/A,FALSE,"Skjema 6.23 ";#N/A,#N/A,FALSE,"Skjema 6.24 ";#N/A,#N/A,FALSE,"Skjema 6.25";#N/A,#N/A,FALSE,"Skjema 6.26 ";#N/A,#N/A,FALSE,"Skjema 6.27";#N/A,#N/A,FALSE,"Skjema 6.28 ";#N/A,#N/A,FALSE,"Skjema 6.29";#N/A,#N/A,FALSE,"Skjema 6.30";#N/A,#N/A,FALSE,"Skjema 6.31";#N/A,#N/A,FALSE,"Skjema 6.31b"}</definedName>
    <definedName name="_cc1" localSheetId="5" hidden="1">{#N/A,#N/A,FALSE,"Skjema 6.1 ";#N/A,#N/A,FALSE,"Skjema 6.2";#N/A,#N/A,FALSE,"Skjema 6.3";#N/A,#N/A,FALSE,"Skjema 6.4 ";#N/A,#N/A,FALSE,"Skjema 6.5";#N/A,#N/A,FALSE,"Skjema 6.6 ";#N/A,#N/A,FALSE,"Skjema 6.7 ";#N/A,#N/A,FALSE,"Skjema 6.8 ";#N/A,#N/A,FALSE,"Skjema 6.9";#N/A,#N/A,FALSE,"Skjema 6.10 ";#N/A,#N/A,FALSE,"Skjema 6.11 ";#N/A,#N/A,FALSE,"Skjema 6.12 ";#N/A,#N/A,FALSE,"Skjema 6.13 ";#N/A,#N/A,FALSE,"Skjema 6.14";#N/A,#N/A,FALSE,"Skjema 6.15 ";#N/A,#N/A,FALSE,"Skjema 6.16 ";#N/A,#N/A,FALSE,"Skjema 6.17 ";#N/A,#N/A,FALSE,"Skjema 6.18 ";#N/A,#N/A,FALSE,"Skjema 6.19 ";#N/A,#N/A,FALSE,"Skjema 6.20 ";#N/A,#N/A,FALSE,"Skjema 6.21";#N/A,#N/A,FALSE,"Skjema 6.22 ";#N/A,#N/A,FALSE,"Skjema 6.23 ";#N/A,#N/A,FALSE,"Skjema 6.24 ";#N/A,#N/A,FALSE,"Skjema 6.25";#N/A,#N/A,FALSE,"Skjema 6.26 ";#N/A,#N/A,FALSE,"Skjema 6.27";#N/A,#N/A,FALSE,"Skjema 6.28 ";#N/A,#N/A,FALSE,"Skjema 6.29";#N/A,#N/A,FALSE,"Skjema 6.30";#N/A,#N/A,FALSE,"Skjema 6.31";#N/A,#N/A,FALSE,"Skjema 6.31b"}</definedName>
    <definedName name="_cc1" localSheetId="4" hidden="1">{#N/A,#N/A,FALSE,"Skjema 6.1 ";#N/A,#N/A,FALSE,"Skjema 6.2";#N/A,#N/A,FALSE,"Skjema 6.3";#N/A,#N/A,FALSE,"Skjema 6.4 ";#N/A,#N/A,FALSE,"Skjema 6.5";#N/A,#N/A,FALSE,"Skjema 6.6 ";#N/A,#N/A,FALSE,"Skjema 6.7 ";#N/A,#N/A,FALSE,"Skjema 6.8 ";#N/A,#N/A,FALSE,"Skjema 6.9";#N/A,#N/A,FALSE,"Skjema 6.10 ";#N/A,#N/A,FALSE,"Skjema 6.11 ";#N/A,#N/A,FALSE,"Skjema 6.12 ";#N/A,#N/A,FALSE,"Skjema 6.13 ";#N/A,#N/A,FALSE,"Skjema 6.14";#N/A,#N/A,FALSE,"Skjema 6.15 ";#N/A,#N/A,FALSE,"Skjema 6.16 ";#N/A,#N/A,FALSE,"Skjema 6.17 ";#N/A,#N/A,FALSE,"Skjema 6.18 ";#N/A,#N/A,FALSE,"Skjema 6.19 ";#N/A,#N/A,FALSE,"Skjema 6.20 ";#N/A,#N/A,FALSE,"Skjema 6.21";#N/A,#N/A,FALSE,"Skjema 6.22 ";#N/A,#N/A,FALSE,"Skjema 6.23 ";#N/A,#N/A,FALSE,"Skjema 6.24 ";#N/A,#N/A,FALSE,"Skjema 6.25";#N/A,#N/A,FALSE,"Skjema 6.26 ";#N/A,#N/A,FALSE,"Skjema 6.27";#N/A,#N/A,FALSE,"Skjema 6.28 ";#N/A,#N/A,FALSE,"Skjema 6.29";#N/A,#N/A,FALSE,"Skjema 6.30";#N/A,#N/A,FALSE,"Skjema 6.31";#N/A,#N/A,FALSE,"Skjema 6.31b"}</definedName>
    <definedName name="_cc1" hidden="1">{#N/A,#N/A,FALSE,"Skjema 6.1 ";#N/A,#N/A,FALSE,"Skjema 6.2";#N/A,#N/A,FALSE,"Skjema 6.3";#N/A,#N/A,FALSE,"Skjema 6.4 ";#N/A,#N/A,FALSE,"Skjema 6.5";#N/A,#N/A,FALSE,"Skjema 6.6 ";#N/A,#N/A,FALSE,"Skjema 6.7 ";#N/A,#N/A,FALSE,"Skjema 6.8 ";#N/A,#N/A,FALSE,"Skjema 6.9";#N/A,#N/A,FALSE,"Skjema 6.10 ";#N/A,#N/A,FALSE,"Skjema 6.11 ";#N/A,#N/A,FALSE,"Skjema 6.12 ";#N/A,#N/A,FALSE,"Skjema 6.13 ";#N/A,#N/A,FALSE,"Skjema 6.14";#N/A,#N/A,FALSE,"Skjema 6.15 ";#N/A,#N/A,FALSE,"Skjema 6.16 ";#N/A,#N/A,FALSE,"Skjema 6.17 ";#N/A,#N/A,FALSE,"Skjema 6.18 ";#N/A,#N/A,FALSE,"Skjema 6.19 ";#N/A,#N/A,FALSE,"Skjema 6.20 ";#N/A,#N/A,FALSE,"Skjema 6.21";#N/A,#N/A,FALSE,"Skjema 6.22 ";#N/A,#N/A,FALSE,"Skjema 6.23 ";#N/A,#N/A,FALSE,"Skjema 6.24 ";#N/A,#N/A,FALSE,"Skjema 6.25";#N/A,#N/A,FALSE,"Skjema 6.26 ";#N/A,#N/A,FALSE,"Skjema 6.27";#N/A,#N/A,FALSE,"Skjema 6.28 ";#N/A,#N/A,FALSE,"Skjema 6.29";#N/A,#N/A,FALSE,"Skjema 6.30";#N/A,#N/A,FALSE,"Skjema 6.31";#N/A,#N/A,FALSE,"Skjema 6.31b"}</definedName>
    <definedName name="_DEF2" localSheetId="3" hidden="1">{#N/A,#N/A,FALSE,"DEF1";#N/A,#N/A,FALSE,"DEF2";#N/A,#N/A,FALSE,"DEF3"}</definedName>
    <definedName name="_DEF2" localSheetId="6" hidden="1">{#N/A,#N/A,FALSE,"DEF1";#N/A,#N/A,FALSE,"DEF2";#N/A,#N/A,FALSE,"DEF3"}</definedName>
    <definedName name="_DEF2" localSheetId="7" hidden="1">{#N/A,#N/A,FALSE,"DEF1";#N/A,#N/A,FALSE,"DEF2";#N/A,#N/A,FALSE,"DEF3"}</definedName>
    <definedName name="_DEF2" localSheetId="10" hidden="1">{#N/A,#N/A,FALSE,"DEF1";#N/A,#N/A,FALSE,"DEF2";#N/A,#N/A,FALSE,"DEF3"}</definedName>
    <definedName name="_DEF2" localSheetId="11" hidden="1">{#N/A,#N/A,FALSE,"DEF1";#N/A,#N/A,FALSE,"DEF2";#N/A,#N/A,FALSE,"DEF3"}</definedName>
    <definedName name="_DEF2" localSheetId="5" hidden="1">{#N/A,#N/A,FALSE,"DEF1";#N/A,#N/A,FALSE,"DEF2";#N/A,#N/A,FALSE,"DEF3"}</definedName>
    <definedName name="_DEF2" localSheetId="4" hidden="1">{#N/A,#N/A,FALSE,"DEF1";#N/A,#N/A,FALSE,"DEF2";#N/A,#N/A,FALSE,"DEF3"}</definedName>
    <definedName name="_DEF2" hidden="1">{#N/A,#N/A,FALSE,"DEF1";#N/A,#N/A,FALSE,"DEF2";#N/A,#N/A,FALSE,"DEF3"}</definedName>
    <definedName name="_DEF3" localSheetId="3" hidden="1">{#N/A,#N/A,FALSE,"DEF1";#N/A,#N/A,FALSE,"DEF2";#N/A,#N/A,FALSE,"DEF3"}</definedName>
    <definedName name="_DEF3" localSheetId="6" hidden="1">{#N/A,#N/A,FALSE,"DEF1";#N/A,#N/A,FALSE,"DEF2";#N/A,#N/A,FALSE,"DEF3"}</definedName>
    <definedName name="_DEF3" localSheetId="7" hidden="1">{#N/A,#N/A,FALSE,"DEF1";#N/A,#N/A,FALSE,"DEF2";#N/A,#N/A,FALSE,"DEF3"}</definedName>
    <definedName name="_DEF3" localSheetId="10" hidden="1">{#N/A,#N/A,FALSE,"DEF1";#N/A,#N/A,FALSE,"DEF2";#N/A,#N/A,FALSE,"DEF3"}</definedName>
    <definedName name="_DEF3" localSheetId="11" hidden="1">{#N/A,#N/A,FALSE,"DEF1";#N/A,#N/A,FALSE,"DEF2";#N/A,#N/A,FALSE,"DEF3"}</definedName>
    <definedName name="_DEF3" localSheetId="5" hidden="1">{#N/A,#N/A,FALSE,"DEF1";#N/A,#N/A,FALSE,"DEF2";#N/A,#N/A,FALSE,"DEF3"}</definedName>
    <definedName name="_DEF3" localSheetId="4" hidden="1">{#N/A,#N/A,FALSE,"DEF1";#N/A,#N/A,FALSE,"DEF2";#N/A,#N/A,FALSE,"DEF3"}</definedName>
    <definedName name="_DEF3" hidden="1">{#N/A,#N/A,FALSE,"DEF1";#N/A,#N/A,FALSE,"DEF2";#N/A,#N/A,FALSE,"DEF3"}</definedName>
    <definedName name="_DFG4" localSheetId="3"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DFG4" localSheetId="6"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DFG4" localSheetId="7"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DFG4" localSheetId="10"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DFG4" localSheetId="11"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DFG4" localSheetId="5"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DFG4" localSheetId="4"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DFG4"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efc10" localSheetId="3" hidden="1">{"'RR'!$A$2:$E$81"}</definedName>
    <definedName name="_efc10" localSheetId="6" hidden="1">{"'RR'!$A$2:$E$81"}</definedName>
    <definedName name="_efc10" localSheetId="7" hidden="1">{"'RR'!$A$2:$E$81"}</definedName>
    <definedName name="_efc10" localSheetId="10" hidden="1">{"'RR'!$A$2:$E$81"}</definedName>
    <definedName name="_efc10" localSheetId="11" hidden="1">{"'RR'!$A$2:$E$81"}</definedName>
    <definedName name="_efc10" localSheetId="5" hidden="1">{"'RR'!$A$2:$E$81"}</definedName>
    <definedName name="_efc10" localSheetId="4" hidden="1">{"'RR'!$A$2:$E$81"}</definedName>
    <definedName name="_efc10" hidden="1">{"'RR'!$A$2:$E$81"}</definedName>
    <definedName name="_EFC2" localSheetId="3" hidden="1">{"'RR'!$A$2:$E$81"}</definedName>
    <definedName name="_EFC2" localSheetId="6" hidden="1">{"'RR'!$A$2:$E$81"}</definedName>
    <definedName name="_EFC2" localSheetId="7" hidden="1">{"'RR'!$A$2:$E$81"}</definedName>
    <definedName name="_EFC2" localSheetId="10" hidden="1">{"'RR'!$A$2:$E$81"}</definedName>
    <definedName name="_EFC2" localSheetId="11" hidden="1">{"'RR'!$A$2:$E$81"}</definedName>
    <definedName name="_EFC2" localSheetId="5" hidden="1">{"'RR'!$A$2:$E$81"}</definedName>
    <definedName name="_EFC2" localSheetId="4" hidden="1">{"'RR'!$A$2:$E$81"}</definedName>
    <definedName name="_EFC2" hidden="1">{"'RR'!$A$2:$E$81"}</definedName>
    <definedName name="_EFC3" localSheetId="3" hidden="1">{"'RR'!$A$2:$E$81"}</definedName>
    <definedName name="_EFC3" localSheetId="6" hidden="1">{"'RR'!$A$2:$E$81"}</definedName>
    <definedName name="_EFC3" localSheetId="7" hidden="1">{"'RR'!$A$2:$E$81"}</definedName>
    <definedName name="_EFC3" localSheetId="10" hidden="1">{"'RR'!$A$2:$E$81"}</definedName>
    <definedName name="_EFC3" localSheetId="11" hidden="1">{"'RR'!$A$2:$E$81"}</definedName>
    <definedName name="_EFC3" localSheetId="5" hidden="1">{"'RR'!$A$2:$E$81"}</definedName>
    <definedName name="_EFC3" localSheetId="4" hidden="1">{"'RR'!$A$2:$E$81"}</definedName>
    <definedName name="_EFC3" hidden="1">{"'RR'!$A$2:$E$81"}</definedName>
    <definedName name="_EFC4" localSheetId="3" hidden="1">{"'RR'!$A$2:$E$81"}</definedName>
    <definedName name="_EFC4" localSheetId="6" hidden="1">{"'RR'!$A$2:$E$81"}</definedName>
    <definedName name="_EFC4" localSheetId="7" hidden="1">{"'RR'!$A$2:$E$81"}</definedName>
    <definedName name="_EFC4" localSheetId="10" hidden="1">{"'RR'!$A$2:$E$81"}</definedName>
    <definedName name="_EFC4" localSheetId="11" hidden="1">{"'RR'!$A$2:$E$81"}</definedName>
    <definedName name="_EFC4" localSheetId="5" hidden="1">{"'RR'!$A$2:$E$81"}</definedName>
    <definedName name="_EFC4" localSheetId="4" hidden="1">{"'RR'!$A$2:$E$81"}</definedName>
    <definedName name="_EFC4" hidden="1">{"'RR'!$A$2:$E$81"}</definedName>
    <definedName name="_ffp16" localSheetId="3" hidden="1">{"'gráf jan00'!$A$1:$AK$41"}</definedName>
    <definedName name="_ffp16" localSheetId="6" hidden="1">{"'gráf jan00'!$A$1:$AK$41"}</definedName>
    <definedName name="_ffp16" localSheetId="7" hidden="1">{"'gráf jan00'!$A$1:$AK$41"}</definedName>
    <definedName name="_ffp16" localSheetId="10" hidden="1">{"'gráf jan00'!$A$1:$AK$41"}</definedName>
    <definedName name="_ffp16" localSheetId="11" hidden="1">{"'gráf jan00'!$A$1:$AK$41"}</definedName>
    <definedName name="_ffp16" localSheetId="5" hidden="1">{"'gráf jan00'!$A$1:$AK$41"}</definedName>
    <definedName name="_ffp16" localSheetId="4" hidden="1">{"'gráf jan00'!$A$1:$AK$41"}</definedName>
    <definedName name="_ffp16" hidden="1">{"'gráf jan00'!$A$1:$AK$41"}</definedName>
    <definedName name="_ffp4589" localSheetId="3" hidden="1">{"'gráf jan00'!$A$1:$AK$41"}</definedName>
    <definedName name="_ffp4589" localSheetId="6" hidden="1">{"'gráf jan00'!$A$1:$AK$41"}</definedName>
    <definedName name="_ffp4589" localSheetId="7" hidden="1">{"'gráf jan00'!$A$1:$AK$41"}</definedName>
    <definedName name="_ffp4589" localSheetId="10" hidden="1">{"'gráf jan00'!$A$1:$AK$41"}</definedName>
    <definedName name="_ffp4589" localSheetId="11" hidden="1">{"'gráf jan00'!$A$1:$AK$41"}</definedName>
    <definedName name="_ffp4589" localSheetId="5" hidden="1">{"'gráf jan00'!$A$1:$AK$41"}</definedName>
    <definedName name="_ffp4589" localSheetId="4" hidden="1">{"'gráf jan00'!$A$1:$AK$41"}</definedName>
    <definedName name="_ffp4589" hidden="1">{"'gráf jan00'!$A$1:$AK$41"}</definedName>
    <definedName name="_Fill" localSheetId="1" hidden="1">#REF!</definedName>
    <definedName name="_Fill" localSheetId="2" hidden="1">#REF!</definedName>
    <definedName name="_Fill" hidden="1">#REF!</definedName>
    <definedName name="_fill1" localSheetId="3" hidden="1">#REF!</definedName>
    <definedName name="_fill1" localSheetId="7" hidden="1">#REF!</definedName>
    <definedName name="_fill1" hidden="1">#REF!</definedName>
    <definedName name="_Filll" hidden="1">[7]Elétrica!#REF!</definedName>
    <definedName name="_xlnm._FilterDatabase" localSheetId="3" hidden="1">#REF!</definedName>
    <definedName name="_xlnm._FilterDatabase" localSheetId="6" hidden="1">#REF!</definedName>
    <definedName name="_xlnm._FilterDatabase" localSheetId="7" hidden="1">#REF!</definedName>
    <definedName name="_xlnm._FilterDatabase" localSheetId="9" hidden="1">'MEMO CAPEX_5'!$A$5:$H$8</definedName>
    <definedName name="_xlnm._FilterDatabase" localSheetId="10" hidden="1">#REF!</definedName>
    <definedName name="_xlnm._FilterDatabase" localSheetId="11" hidden="1">#REF!</definedName>
    <definedName name="_xlnm._FilterDatabase" localSheetId="5" hidden="1">#REF!</definedName>
    <definedName name="_xlnm._FilterDatabase" localSheetId="4" hidden="1">OPEX!$A$3:$E$16</definedName>
    <definedName name="_xlnm._FilterDatabase" localSheetId="15" hidden="1">'SIEC-CPTM'!$A$17:$D$31</definedName>
    <definedName name="_xlnm._FilterDatabase" hidden="1">#REF!</definedName>
    <definedName name="_JAN02" localSheetId="3" hidden="1">{"VENTAS1",#N/A,FALSE,"VENTAS";"VENTAS2",#N/A,FALSE,"VENTAS";"VENTAS3",#N/A,FALSE,"VENTAS";"VENTAS4",#N/A,FALSE,"VENTAS";"VENTAS5",#N/A,FALSE,"VENTAS";"VENTAS6",#N/A,FALSE,"VENTAS";"VENTAS7",#N/A,FALSE,"VENTAS";"VENTAS8",#N/A,FALSE,"VENTAS"}</definedName>
    <definedName name="_JAN02" localSheetId="6" hidden="1">{"VENTAS1",#N/A,FALSE,"VENTAS";"VENTAS2",#N/A,FALSE,"VENTAS";"VENTAS3",#N/A,FALSE,"VENTAS";"VENTAS4",#N/A,FALSE,"VENTAS";"VENTAS5",#N/A,FALSE,"VENTAS";"VENTAS6",#N/A,FALSE,"VENTAS";"VENTAS7",#N/A,FALSE,"VENTAS";"VENTAS8",#N/A,FALSE,"VENTAS"}</definedName>
    <definedName name="_JAN02" localSheetId="7" hidden="1">{"VENTAS1",#N/A,FALSE,"VENTAS";"VENTAS2",#N/A,FALSE,"VENTAS";"VENTAS3",#N/A,FALSE,"VENTAS";"VENTAS4",#N/A,FALSE,"VENTAS";"VENTAS5",#N/A,FALSE,"VENTAS";"VENTAS6",#N/A,FALSE,"VENTAS";"VENTAS7",#N/A,FALSE,"VENTAS";"VENTAS8",#N/A,FALSE,"VENTAS"}</definedName>
    <definedName name="_JAN02" localSheetId="10" hidden="1">{"VENTAS1",#N/A,FALSE,"VENTAS";"VENTAS2",#N/A,FALSE,"VENTAS";"VENTAS3",#N/A,FALSE,"VENTAS";"VENTAS4",#N/A,FALSE,"VENTAS";"VENTAS5",#N/A,FALSE,"VENTAS";"VENTAS6",#N/A,FALSE,"VENTAS";"VENTAS7",#N/A,FALSE,"VENTAS";"VENTAS8",#N/A,FALSE,"VENTAS"}</definedName>
    <definedName name="_JAN02" localSheetId="11" hidden="1">{"VENTAS1",#N/A,FALSE,"VENTAS";"VENTAS2",#N/A,FALSE,"VENTAS";"VENTAS3",#N/A,FALSE,"VENTAS";"VENTAS4",#N/A,FALSE,"VENTAS";"VENTAS5",#N/A,FALSE,"VENTAS";"VENTAS6",#N/A,FALSE,"VENTAS";"VENTAS7",#N/A,FALSE,"VENTAS";"VENTAS8",#N/A,FALSE,"VENTAS"}</definedName>
    <definedName name="_JAN02" localSheetId="5" hidden="1">{"VENTAS1",#N/A,FALSE,"VENTAS";"VENTAS2",#N/A,FALSE,"VENTAS";"VENTAS3",#N/A,FALSE,"VENTAS";"VENTAS4",#N/A,FALSE,"VENTAS";"VENTAS5",#N/A,FALSE,"VENTAS";"VENTAS6",#N/A,FALSE,"VENTAS";"VENTAS7",#N/A,FALSE,"VENTAS";"VENTAS8",#N/A,FALSE,"VENTAS"}</definedName>
    <definedName name="_JAN02" localSheetId="4" hidden="1">{"VENTAS1",#N/A,FALSE,"VENTAS";"VENTAS2",#N/A,FALSE,"VENTAS";"VENTAS3",#N/A,FALSE,"VENTAS";"VENTAS4",#N/A,FALSE,"VENTAS";"VENTAS5",#N/A,FALSE,"VENTAS";"VENTAS6",#N/A,FALSE,"VENTAS";"VENTAS7",#N/A,FALSE,"VENTAS";"VENTAS8",#N/A,FALSE,"VENTAS"}</definedName>
    <definedName name="_JAN02" localSheetId="1" hidden="1">{"VENTAS1",#N/A,FALSE,"VENTAS";"VENTAS2",#N/A,FALSE,"VENTAS";"VENTAS3",#N/A,FALSE,"VENTAS";"VENTAS4",#N/A,FALSE,"VENTAS";"VENTAS5",#N/A,FALSE,"VENTAS";"VENTAS6",#N/A,FALSE,"VENTAS";"VENTAS7",#N/A,FALSE,"VENTAS";"VENTAS8",#N/A,FALSE,"VENTAS"}</definedName>
    <definedName name="_JAN02" localSheetId="2" hidden="1">{"VENTAS1",#N/A,FALSE,"VENTAS";"VENTAS2",#N/A,FALSE,"VENTAS";"VENTAS3",#N/A,FALSE,"VENTAS";"VENTAS4",#N/A,FALSE,"VENTAS";"VENTAS5",#N/A,FALSE,"VENTAS";"VENTAS6",#N/A,FALSE,"VENTAS";"VENTAS7",#N/A,FALSE,"VENTAS";"VENTAS8",#N/A,FALSE,"VENTAS"}</definedName>
    <definedName name="_JAN02" hidden="1">{"VENTAS1",#N/A,FALSE,"VENTAS";"VENTAS2",#N/A,FALSE,"VENTAS";"VENTAS3",#N/A,FALSE,"VENTAS";"VENTAS4",#N/A,FALSE,"VENTAS";"VENTAS5",#N/A,FALSE,"VENTAS";"VENTAS6",#N/A,FALSE,"VENTAS";"VENTAS7",#N/A,FALSE,"VENTAS";"VENTAS8",#N/A,FALSE,"VENTAS"}</definedName>
    <definedName name="_JU7" localSheetId="3"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JU7" localSheetId="6"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JU7" localSheetId="7"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JU7" localSheetId="10"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JU7" localSheetId="11"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JU7" localSheetId="5"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JU7" localSheetId="4"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JU7"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jun04" localSheetId="3" hidden="1">{"'gráf jan00'!$A$1:$AK$41"}</definedName>
    <definedName name="_jun04" localSheetId="6" hidden="1">{"'gráf jan00'!$A$1:$AK$41"}</definedName>
    <definedName name="_jun04" localSheetId="7" hidden="1">{"'gráf jan00'!$A$1:$AK$41"}</definedName>
    <definedName name="_jun04" localSheetId="10" hidden="1">{"'gráf jan00'!$A$1:$AK$41"}</definedName>
    <definedName name="_jun04" localSheetId="11" hidden="1">{"'gráf jan00'!$A$1:$AK$41"}</definedName>
    <definedName name="_jun04" localSheetId="5" hidden="1">{"'gráf jan00'!$A$1:$AK$41"}</definedName>
    <definedName name="_jun04" localSheetId="4" hidden="1">{"'gráf jan00'!$A$1:$AK$41"}</definedName>
    <definedName name="_jun04" hidden="1">{"'gráf jan00'!$A$1:$AK$41"}</definedName>
    <definedName name="_Kay1" hidden="1">#REF!</definedName>
    <definedName name="_Key1" localSheetId="3" hidden="1">'[8]#REF'!$C$12</definedName>
    <definedName name="_Key1" localSheetId="6" hidden="1">'[8]#REF'!$C$12</definedName>
    <definedName name="_Key1" localSheetId="7" hidden="1">'[8]#REF'!$C$12</definedName>
    <definedName name="_Key1" localSheetId="10" hidden="1">'[8]#REF'!$C$12</definedName>
    <definedName name="_Key1" localSheetId="11" hidden="1">'[8]#REF'!$C$12</definedName>
    <definedName name="_Key1" localSheetId="5" hidden="1">'[8]#REF'!$C$12</definedName>
    <definedName name="_Key1" localSheetId="4" hidden="1">'[8]#REF'!$C$12</definedName>
    <definedName name="_Key1" localSheetId="1" hidden="1">#REF!</definedName>
    <definedName name="_Key1" localSheetId="2" hidden="1">#REF!</definedName>
    <definedName name="_Key1" hidden="1">#REF!</definedName>
    <definedName name="_Key2" localSheetId="3" hidden="1">'[8]#REF'!$C$26</definedName>
    <definedName name="_Key2" localSheetId="6" hidden="1">'[8]#REF'!$C$26</definedName>
    <definedName name="_Key2" localSheetId="7" hidden="1">'[8]#REF'!$C$26</definedName>
    <definedName name="_Key2" localSheetId="10" hidden="1">'[8]#REF'!$C$26</definedName>
    <definedName name="_Key2" localSheetId="11" hidden="1">'[8]#REF'!$C$26</definedName>
    <definedName name="_Key2" localSheetId="5" hidden="1">'[8]#REF'!$C$26</definedName>
    <definedName name="_Key2" localSheetId="4" hidden="1">'[8]#REF'!$C$26</definedName>
    <definedName name="_Key2" localSheetId="1" hidden="1">#REF!</definedName>
    <definedName name="_Key2" localSheetId="2" hidden="1">#REF!</definedName>
    <definedName name="_Key2" hidden="1">#REF!</definedName>
    <definedName name="_kj14" localSheetId="3"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kj14" localSheetId="6"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kj14" localSheetId="7"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kj14" localSheetId="10"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kj14" localSheetId="11"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kj14" localSheetId="5"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kj14" localSheetId="4"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kj14"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kj16" localSheetId="3"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kj16" localSheetId="6"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kj16" localSheetId="7"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kj16" localSheetId="10"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kj16" localSheetId="11"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kj16" localSheetId="5"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kj16" localSheetId="4"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kj16"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kj4" localSheetId="3"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kj4" localSheetId="6"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kj4" localSheetId="7"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kj4" localSheetId="10"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kj4" localSheetId="11"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kj4" localSheetId="5"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kj4" localSheetId="4"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kj4"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kj8" localSheetId="3"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kj8" localSheetId="6"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kj8" localSheetId="7"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kj8" localSheetId="10"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kj8" localSheetId="11"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kj8" localSheetId="5"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kj8" localSheetId="4"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kj8"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_MatMult_A" hidden="1">'[9]Painel de Controle'!#REF!</definedName>
    <definedName name="_MOA1" localSheetId="3" hidden="1">{#N/A,#N/A,FALSE,"DEF1";#N/A,#N/A,FALSE,"DEF2";#N/A,#N/A,FALSE,"DEF3"}</definedName>
    <definedName name="_MOA1" localSheetId="6" hidden="1">{#N/A,#N/A,FALSE,"DEF1";#N/A,#N/A,FALSE,"DEF2";#N/A,#N/A,FALSE,"DEF3"}</definedName>
    <definedName name="_MOA1" localSheetId="7" hidden="1">{#N/A,#N/A,FALSE,"DEF1";#N/A,#N/A,FALSE,"DEF2";#N/A,#N/A,FALSE,"DEF3"}</definedName>
    <definedName name="_MOA1" localSheetId="10" hidden="1">{#N/A,#N/A,FALSE,"DEF1";#N/A,#N/A,FALSE,"DEF2";#N/A,#N/A,FALSE,"DEF3"}</definedName>
    <definedName name="_MOA1" localSheetId="11" hidden="1">{#N/A,#N/A,FALSE,"DEF1";#N/A,#N/A,FALSE,"DEF2";#N/A,#N/A,FALSE,"DEF3"}</definedName>
    <definedName name="_MOA1" localSheetId="5" hidden="1">{#N/A,#N/A,FALSE,"DEF1";#N/A,#N/A,FALSE,"DEF2";#N/A,#N/A,FALSE,"DEF3"}</definedName>
    <definedName name="_MOA1" localSheetId="4" hidden="1">{#N/A,#N/A,FALSE,"DEF1";#N/A,#N/A,FALSE,"DEF2";#N/A,#N/A,FALSE,"DEF3"}</definedName>
    <definedName name="_MOA1" hidden="1">{#N/A,#N/A,FALSE,"DEF1";#N/A,#N/A,FALSE,"DEF2";#N/A,#N/A,FALSE,"DEF3"}</definedName>
    <definedName name="_MOA2" localSheetId="3" hidden="1">{#N/A,#N/A,FALSE,"DEF1";#N/A,#N/A,FALSE,"DEF2";#N/A,#N/A,FALSE,"DEF3"}</definedName>
    <definedName name="_MOA2" localSheetId="6" hidden="1">{#N/A,#N/A,FALSE,"DEF1";#N/A,#N/A,FALSE,"DEF2";#N/A,#N/A,FALSE,"DEF3"}</definedName>
    <definedName name="_MOA2" localSheetId="7" hidden="1">{#N/A,#N/A,FALSE,"DEF1";#N/A,#N/A,FALSE,"DEF2";#N/A,#N/A,FALSE,"DEF3"}</definedName>
    <definedName name="_MOA2" localSheetId="10" hidden="1">{#N/A,#N/A,FALSE,"DEF1";#N/A,#N/A,FALSE,"DEF2";#N/A,#N/A,FALSE,"DEF3"}</definedName>
    <definedName name="_MOA2" localSheetId="11" hidden="1">{#N/A,#N/A,FALSE,"DEF1";#N/A,#N/A,FALSE,"DEF2";#N/A,#N/A,FALSE,"DEF3"}</definedName>
    <definedName name="_MOA2" localSheetId="5" hidden="1">{#N/A,#N/A,FALSE,"DEF1";#N/A,#N/A,FALSE,"DEF2";#N/A,#N/A,FALSE,"DEF3"}</definedName>
    <definedName name="_MOA2" localSheetId="4" hidden="1">{#N/A,#N/A,FALSE,"DEF1";#N/A,#N/A,FALSE,"DEF2";#N/A,#N/A,FALSE,"DEF3"}</definedName>
    <definedName name="_MOA2" hidden="1">{#N/A,#N/A,FALSE,"DEF1";#N/A,#N/A,FALSE,"DEF2";#N/A,#N/A,FALSE,"DEF3"}</definedName>
    <definedName name="_MOD1" localSheetId="3" hidden="1">{#N/A,#N/A,FALSE,"GERAL";#N/A,#N/A,FALSE,"012-96";#N/A,#N/A,FALSE,"018-96";#N/A,#N/A,FALSE,"027-96";#N/A,#N/A,FALSE,"059-96";#N/A,#N/A,FALSE,"076-96";#N/A,#N/A,FALSE,"019-97";#N/A,#N/A,FALSE,"021-97";#N/A,#N/A,FALSE,"022-97";#N/A,#N/A,FALSE,"028-97"}</definedName>
    <definedName name="_MOD1" localSheetId="6" hidden="1">{#N/A,#N/A,FALSE,"GERAL";#N/A,#N/A,FALSE,"012-96";#N/A,#N/A,FALSE,"018-96";#N/A,#N/A,FALSE,"027-96";#N/A,#N/A,FALSE,"059-96";#N/A,#N/A,FALSE,"076-96";#N/A,#N/A,FALSE,"019-97";#N/A,#N/A,FALSE,"021-97";#N/A,#N/A,FALSE,"022-97";#N/A,#N/A,FALSE,"028-97"}</definedName>
    <definedName name="_MOD1" localSheetId="7" hidden="1">{#N/A,#N/A,FALSE,"GERAL";#N/A,#N/A,FALSE,"012-96";#N/A,#N/A,FALSE,"018-96";#N/A,#N/A,FALSE,"027-96";#N/A,#N/A,FALSE,"059-96";#N/A,#N/A,FALSE,"076-96";#N/A,#N/A,FALSE,"019-97";#N/A,#N/A,FALSE,"021-97";#N/A,#N/A,FALSE,"022-97";#N/A,#N/A,FALSE,"028-97"}</definedName>
    <definedName name="_MOD1" localSheetId="10" hidden="1">{#N/A,#N/A,FALSE,"GERAL";#N/A,#N/A,FALSE,"012-96";#N/A,#N/A,FALSE,"018-96";#N/A,#N/A,FALSE,"027-96";#N/A,#N/A,FALSE,"059-96";#N/A,#N/A,FALSE,"076-96";#N/A,#N/A,FALSE,"019-97";#N/A,#N/A,FALSE,"021-97";#N/A,#N/A,FALSE,"022-97";#N/A,#N/A,FALSE,"028-97"}</definedName>
    <definedName name="_MOD1" localSheetId="11" hidden="1">{#N/A,#N/A,FALSE,"GERAL";#N/A,#N/A,FALSE,"012-96";#N/A,#N/A,FALSE,"018-96";#N/A,#N/A,FALSE,"027-96";#N/A,#N/A,FALSE,"059-96";#N/A,#N/A,FALSE,"076-96";#N/A,#N/A,FALSE,"019-97";#N/A,#N/A,FALSE,"021-97";#N/A,#N/A,FALSE,"022-97";#N/A,#N/A,FALSE,"028-97"}</definedName>
    <definedName name="_MOD1" localSheetId="5" hidden="1">{#N/A,#N/A,FALSE,"GERAL";#N/A,#N/A,FALSE,"012-96";#N/A,#N/A,FALSE,"018-96";#N/A,#N/A,FALSE,"027-96";#N/A,#N/A,FALSE,"059-96";#N/A,#N/A,FALSE,"076-96";#N/A,#N/A,FALSE,"019-97";#N/A,#N/A,FALSE,"021-97";#N/A,#N/A,FALSE,"022-97";#N/A,#N/A,FALSE,"028-97"}</definedName>
    <definedName name="_MOD1" localSheetId="4" hidden="1">{#N/A,#N/A,FALSE,"GERAL";#N/A,#N/A,FALSE,"012-96";#N/A,#N/A,FALSE,"018-96";#N/A,#N/A,FALSE,"027-96";#N/A,#N/A,FALSE,"059-96";#N/A,#N/A,FALSE,"076-96";#N/A,#N/A,FALSE,"019-97";#N/A,#N/A,FALSE,"021-97";#N/A,#N/A,FALSE,"022-97";#N/A,#N/A,FALSE,"028-97"}</definedName>
    <definedName name="_MOD1" hidden="1">{#N/A,#N/A,FALSE,"GERAL";#N/A,#N/A,FALSE,"012-96";#N/A,#N/A,FALSE,"018-96";#N/A,#N/A,FALSE,"027-96";#N/A,#N/A,FALSE,"059-96";#N/A,#N/A,FALSE,"076-96";#N/A,#N/A,FALSE,"019-97";#N/A,#N/A,FALSE,"021-97";#N/A,#N/A,FALSE,"022-97";#N/A,#N/A,FALSE,"028-97"}</definedName>
    <definedName name="_n2" localSheetId="3" hidden="1">{#N/A,#N/A,FALSE,"PCOL"}</definedName>
    <definedName name="_n2" localSheetId="6" hidden="1">{#N/A,#N/A,FALSE,"PCOL"}</definedName>
    <definedName name="_n2" localSheetId="7" hidden="1">{#N/A,#N/A,FALSE,"PCOL"}</definedName>
    <definedName name="_n2" localSheetId="10" hidden="1">{#N/A,#N/A,FALSE,"PCOL"}</definedName>
    <definedName name="_n2" localSheetId="11" hidden="1">{#N/A,#N/A,FALSE,"PCOL"}</definedName>
    <definedName name="_n2" localSheetId="5" hidden="1">{#N/A,#N/A,FALSE,"PCOL"}</definedName>
    <definedName name="_n2" localSheetId="4" hidden="1">{#N/A,#N/A,FALSE,"PCOL"}</definedName>
    <definedName name="_n2" hidden="1">{#N/A,#N/A,FALSE,"PCOL"}</definedName>
    <definedName name="_Order1" hidden="1">255</definedName>
    <definedName name="_Order2" hidden="1">255</definedName>
    <definedName name="_Parse_Out" localSheetId="3" hidden="1">#REF!</definedName>
    <definedName name="_Parse_Out" localSheetId="6" hidden="1">#REF!</definedName>
    <definedName name="_Parse_Out" localSheetId="7" hidden="1">#REF!</definedName>
    <definedName name="_Parse_Out" localSheetId="10" hidden="1">#REF!</definedName>
    <definedName name="_Parse_Out" localSheetId="11" hidden="1">#REF!</definedName>
    <definedName name="_Parse_Out" hidden="1">#REF!</definedName>
    <definedName name="_PN10" localSheetId="3" hidden="1">{"'gráf jan00'!$A$1:$AK$41"}</definedName>
    <definedName name="_PN10" localSheetId="6" hidden="1">{"'gráf jan00'!$A$1:$AK$41"}</definedName>
    <definedName name="_PN10" localSheetId="7" hidden="1">{"'gráf jan00'!$A$1:$AK$41"}</definedName>
    <definedName name="_PN10" localSheetId="10" hidden="1">{"'gráf jan00'!$A$1:$AK$41"}</definedName>
    <definedName name="_PN10" localSheetId="11" hidden="1">{"'gráf jan00'!$A$1:$AK$41"}</definedName>
    <definedName name="_PN10" localSheetId="5" hidden="1">{"'gráf jan00'!$A$1:$AK$41"}</definedName>
    <definedName name="_PN10" localSheetId="4" hidden="1">{"'gráf jan00'!$A$1:$AK$41"}</definedName>
    <definedName name="_PN10" hidden="1">{"'gráf jan00'!$A$1:$AK$41"}</definedName>
    <definedName name="_r" localSheetId="3" hidden="1">{"'CptDifn'!$AA$32:$AG$32"}</definedName>
    <definedName name="_r" localSheetId="6" hidden="1">{"'CptDifn'!$AA$32:$AG$32"}</definedName>
    <definedName name="_r" localSheetId="7" hidden="1">{"'CptDifn'!$AA$32:$AG$32"}</definedName>
    <definedName name="_r" localSheetId="10" hidden="1">{"'CptDifn'!$AA$32:$AG$32"}</definedName>
    <definedName name="_r" localSheetId="11" hidden="1">{"'CptDifn'!$AA$32:$AG$32"}</definedName>
    <definedName name="_r" localSheetId="5" hidden="1">{"'CptDifn'!$AA$32:$AG$32"}</definedName>
    <definedName name="_r" localSheetId="4" hidden="1">{"'CptDifn'!$AA$32:$AG$32"}</definedName>
    <definedName name="_r" hidden="1">{"'CptDifn'!$AA$32:$AG$32"}</definedName>
    <definedName name="_Regression_Int" hidden="1">1</definedName>
    <definedName name="_SE2">#REF!</definedName>
    <definedName name="_Sort" localSheetId="3" hidden="1">'[8]#REF'!$C$176:$C$194</definedName>
    <definedName name="_Sort" localSheetId="6" hidden="1">'[8]#REF'!$C$176:$C$194</definedName>
    <definedName name="_Sort" localSheetId="7" hidden="1">'[8]#REF'!$C$176:$C$194</definedName>
    <definedName name="_Sort" localSheetId="10" hidden="1">'[8]#REF'!$C$176:$C$194</definedName>
    <definedName name="_Sort" localSheetId="11" hidden="1">'[8]#REF'!$C$176:$C$194</definedName>
    <definedName name="_Sort" localSheetId="5" hidden="1">'[8]#REF'!$C$176:$C$194</definedName>
    <definedName name="_Sort" localSheetId="4" hidden="1">'[8]#REF'!$C$176:$C$194</definedName>
    <definedName name="_Sort" localSheetId="1" hidden="1">#REF!</definedName>
    <definedName name="_Sort" localSheetId="2" hidden="1">#REF!</definedName>
    <definedName name="_Sort" hidden="1">#REF!</definedName>
    <definedName name="_Table1_In1" localSheetId="3" hidden="1">#REF!</definedName>
    <definedName name="_Table1_In1" localSheetId="6" hidden="1">#REF!</definedName>
    <definedName name="_Table1_In1" localSheetId="7" hidden="1">#REF!</definedName>
    <definedName name="_Table1_In1" localSheetId="10" hidden="1">#REF!</definedName>
    <definedName name="_Table1_In1" localSheetId="11" hidden="1">#REF!</definedName>
    <definedName name="_Table1_In1" hidden="1">#REF!</definedName>
    <definedName name="_Table1_Out" localSheetId="3" hidden="1">#REF!</definedName>
    <definedName name="_Table1_Out" localSheetId="7" hidden="1">#REF!</definedName>
    <definedName name="_Table1_Out" localSheetId="10" hidden="1">#REF!</definedName>
    <definedName name="_Table1_Out" hidden="1">#REF!</definedName>
    <definedName name="_Table2_Out" localSheetId="3" hidden="1">#REF!</definedName>
    <definedName name="_Table2_Out" localSheetId="7" hidden="1">#REF!</definedName>
    <definedName name="_Table2_Out" localSheetId="10" hidden="1">#REF!</definedName>
    <definedName name="_Table2_Out" hidden="1">#REF!</definedName>
    <definedName name="_x1" localSheetId="3"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_x1" localSheetId="6"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_x1" localSheetId="7"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_x1" localSheetId="10"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_x1" localSheetId="11"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_x1" localSheetId="5"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_x1" localSheetId="4"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_x1" localSheetId="1"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_x1" localSheetId="2"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_x1"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A" localSheetId="3" hidden="1">#REF!</definedName>
    <definedName name="A" localSheetId="6" hidden="1">#REF!</definedName>
    <definedName name="A" localSheetId="7" hidden="1">#REF!</definedName>
    <definedName name="A" localSheetId="10" hidden="1">#REF!</definedName>
    <definedName name="A" localSheetId="11" hidden="1">#REF!</definedName>
    <definedName name="A">#REF!</definedName>
    <definedName name="a000" localSheetId="3" hidden="1">{#N/A,#N/A,FALSE,"ANEXO3 99 ERA";#N/A,#N/A,FALSE,"ANEXO3 99 UBÁ2";#N/A,#N/A,FALSE,"ANEXO3 99 DTU";#N/A,#N/A,FALSE,"ANEXO3 99 RDR";#N/A,#N/A,FALSE,"ANEXO3 99 UBÁ4";#N/A,#N/A,FALSE,"ANEXO3 99 UBÁ6"}</definedName>
    <definedName name="a000" localSheetId="6" hidden="1">{#N/A,#N/A,FALSE,"ANEXO3 99 ERA";#N/A,#N/A,FALSE,"ANEXO3 99 UBÁ2";#N/A,#N/A,FALSE,"ANEXO3 99 DTU";#N/A,#N/A,FALSE,"ANEXO3 99 RDR";#N/A,#N/A,FALSE,"ANEXO3 99 UBÁ4";#N/A,#N/A,FALSE,"ANEXO3 99 UBÁ6"}</definedName>
    <definedName name="a000" localSheetId="7" hidden="1">{#N/A,#N/A,FALSE,"ANEXO3 99 ERA";#N/A,#N/A,FALSE,"ANEXO3 99 UBÁ2";#N/A,#N/A,FALSE,"ANEXO3 99 DTU";#N/A,#N/A,FALSE,"ANEXO3 99 RDR";#N/A,#N/A,FALSE,"ANEXO3 99 UBÁ4";#N/A,#N/A,FALSE,"ANEXO3 99 UBÁ6"}</definedName>
    <definedName name="a000" localSheetId="10" hidden="1">{#N/A,#N/A,FALSE,"ANEXO3 99 ERA";#N/A,#N/A,FALSE,"ANEXO3 99 UBÁ2";#N/A,#N/A,FALSE,"ANEXO3 99 DTU";#N/A,#N/A,FALSE,"ANEXO3 99 RDR";#N/A,#N/A,FALSE,"ANEXO3 99 UBÁ4";#N/A,#N/A,FALSE,"ANEXO3 99 UBÁ6"}</definedName>
    <definedName name="a000" localSheetId="11" hidden="1">{#N/A,#N/A,FALSE,"ANEXO3 99 ERA";#N/A,#N/A,FALSE,"ANEXO3 99 UBÁ2";#N/A,#N/A,FALSE,"ANEXO3 99 DTU";#N/A,#N/A,FALSE,"ANEXO3 99 RDR";#N/A,#N/A,FALSE,"ANEXO3 99 UBÁ4";#N/A,#N/A,FALSE,"ANEXO3 99 UBÁ6"}</definedName>
    <definedName name="a000" localSheetId="5" hidden="1">{#N/A,#N/A,FALSE,"ANEXO3 99 ERA";#N/A,#N/A,FALSE,"ANEXO3 99 UBÁ2";#N/A,#N/A,FALSE,"ANEXO3 99 DTU";#N/A,#N/A,FALSE,"ANEXO3 99 RDR";#N/A,#N/A,FALSE,"ANEXO3 99 UBÁ4";#N/A,#N/A,FALSE,"ANEXO3 99 UBÁ6"}</definedName>
    <definedName name="a000" localSheetId="4" hidden="1">{#N/A,#N/A,FALSE,"ANEXO3 99 ERA";#N/A,#N/A,FALSE,"ANEXO3 99 UBÁ2";#N/A,#N/A,FALSE,"ANEXO3 99 DTU";#N/A,#N/A,FALSE,"ANEXO3 99 RDR";#N/A,#N/A,FALSE,"ANEXO3 99 UBÁ4";#N/A,#N/A,FALSE,"ANEXO3 99 UBÁ6"}</definedName>
    <definedName name="a000" hidden="1">{#N/A,#N/A,FALSE,"ANEXO3 99 ERA";#N/A,#N/A,FALSE,"ANEXO3 99 UBÁ2";#N/A,#N/A,FALSE,"ANEXO3 99 DTU";#N/A,#N/A,FALSE,"ANEXO3 99 RDR";#N/A,#N/A,FALSE,"ANEXO3 99 UBÁ4";#N/A,#N/A,FALSE,"ANEXO3 99 UBÁ6"}</definedName>
    <definedName name="AA" localSheetId="3"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A" localSheetId="6"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A" localSheetId="7"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A" localSheetId="10"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A" localSheetId="1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A" localSheetId="5"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A" localSheetId="4"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A"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AA" localSheetId="3"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AA" localSheetId="6"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AA" localSheetId="7"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AA" localSheetId="10"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AA" localSheetId="1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AA" localSheetId="5"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AA" localSheetId="4"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AA"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AA_DOCTOPS" hidden="1">"AAA_SET"</definedName>
    <definedName name="AAA_duser" hidden="1">"OFF"</definedName>
    <definedName name="aaaaa" localSheetId="3" hidden="1">{"'gráf jan00'!$A$1:$AK$41"}</definedName>
    <definedName name="aaaaa" localSheetId="6" hidden="1">{"'gráf jan00'!$A$1:$AK$41"}</definedName>
    <definedName name="aaaaa" localSheetId="7" hidden="1">{"'gráf jan00'!$A$1:$AK$41"}</definedName>
    <definedName name="aaaaa" localSheetId="10" hidden="1">{"'gráf jan00'!$A$1:$AK$41"}</definedName>
    <definedName name="aaaaa" localSheetId="11" hidden="1">{"'gráf jan00'!$A$1:$AK$41"}</definedName>
    <definedName name="aaaaa" localSheetId="5" hidden="1">{"'gráf jan00'!$A$1:$AK$41"}</definedName>
    <definedName name="aaaaa" localSheetId="4" hidden="1">{"'gráf jan00'!$A$1:$AK$41"}</definedName>
    <definedName name="aaaaa" hidden="1">{"'gráf jan00'!$A$1:$AK$41"}</definedName>
    <definedName name="aaaaaa" hidden="1">#REF!</definedName>
    <definedName name="aaaaaaaaaaaaaaaaaaaaaaaaaa" localSheetId="3" hidden="1">#REF!</definedName>
    <definedName name="aaaaaaaaaaaaaaaaaaaaaaaaaa" localSheetId="7" hidden="1">#REF!</definedName>
    <definedName name="aaaaaaaaaaaaaaaaaaaaaaaaaa" hidden="1">#REF!</definedName>
    <definedName name="aaas" localSheetId="3" hidden="1">{"'gráf jan00'!$A$1:$AK$41"}</definedName>
    <definedName name="aaas" localSheetId="6" hidden="1">{"'gráf jan00'!$A$1:$AK$41"}</definedName>
    <definedName name="aaas" localSheetId="7" hidden="1">{"'gráf jan00'!$A$1:$AK$41"}</definedName>
    <definedName name="aaas" localSheetId="10" hidden="1">{"'gráf jan00'!$A$1:$AK$41"}</definedName>
    <definedName name="aaas" localSheetId="11" hidden="1">{"'gráf jan00'!$A$1:$AK$41"}</definedName>
    <definedName name="aaas" localSheetId="5" hidden="1">{"'gráf jan00'!$A$1:$AK$41"}</definedName>
    <definedName name="aaas" localSheetId="4" hidden="1">{"'gráf jan00'!$A$1:$AK$41"}</definedName>
    <definedName name="aaas" hidden="1">{"'gráf jan00'!$A$1:$AK$41"}</definedName>
    <definedName name="AAB_Addin5" hidden="1">"AAB_Description for addin 5,Description for addin 5,Description for addin 5,Description for addin 5,Description for addin 5,Description for addin 5"</definedName>
    <definedName name="aasaasas" localSheetId="3" hidden="1">{#N/A,#N/A,TRUE,"indice";#N/A,#N/A,TRUE,"indicadores";#N/A,#N/A,TRUE,"comentarios"}</definedName>
    <definedName name="aasaasas" localSheetId="6" hidden="1">{#N/A,#N/A,TRUE,"indice";#N/A,#N/A,TRUE,"indicadores";#N/A,#N/A,TRUE,"comentarios"}</definedName>
    <definedName name="aasaasas" localSheetId="7" hidden="1">{#N/A,#N/A,TRUE,"indice";#N/A,#N/A,TRUE,"indicadores";#N/A,#N/A,TRUE,"comentarios"}</definedName>
    <definedName name="aasaasas" localSheetId="10" hidden="1">{#N/A,#N/A,TRUE,"indice";#N/A,#N/A,TRUE,"indicadores";#N/A,#N/A,TRUE,"comentarios"}</definedName>
    <definedName name="aasaasas" localSheetId="11" hidden="1">{#N/A,#N/A,TRUE,"indice";#N/A,#N/A,TRUE,"indicadores";#N/A,#N/A,TRUE,"comentarios"}</definedName>
    <definedName name="aasaasas" localSheetId="5" hidden="1">{#N/A,#N/A,TRUE,"indice";#N/A,#N/A,TRUE,"indicadores";#N/A,#N/A,TRUE,"comentarios"}</definedName>
    <definedName name="aasaasas" localSheetId="4" hidden="1">{#N/A,#N/A,TRUE,"indice";#N/A,#N/A,TRUE,"indicadores";#N/A,#N/A,TRUE,"comentarios"}</definedName>
    <definedName name="aasaasas" hidden="1">{#N/A,#N/A,TRUE,"indice";#N/A,#N/A,TRUE,"indicadores";#N/A,#N/A,TRUE,"comentarios"}</definedName>
    <definedName name="AB" localSheetId="3" hidden="1">{"'gráf jan00'!$A$1:$AK$41"}</definedName>
    <definedName name="AB" localSheetId="6" hidden="1">{"'gráf jan00'!$A$1:$AK$41"}</definedName>
    <definedName name="AB" localSheetId="7" hidden="1">{"'gráf jan00'!$A$1:$AK$41"}</definedName>
    <definedName name="AB" localSheetId="10" hidden="1">{"'gráf jan00'!$A$1:$AK$41"}</definedName>
    <definedName name="AB" localSheetId="11" hidden="1">{"'gráf jan00'!$A$1:$AK$41"}</definedName>
    <definedName name="AB" localSheetId="5" hidden="1">{"'gráf jan00'!$A$1:$AK$41"}</definedName>
    <definedName name="AB" localSheetId="4" hidden="1">{"'gráf jan00'!$A$1:$AK$41"}</definedName>
    <definedName name="AB" hidden="1">{"'gráf jan00'!$A$1:$AK$41"}</definedName>
    <definedName name="ABC" hidden="1">#REF!</definedName>
    <definedName name="ABC.XLS" localSheetId="3" hidden="1">{"'Quadro'!$A$4:$BG$78"}</definedName>
    <definedName name="ABC.XLS" localSheetId="6" hidden="1">{"'Quadro'!$A$4:$BG$78"}</definedName>
    <definedName name="ABC.XLS" localSheetId="7" hidden="1">{"'Quadro'!$A$4:$BG$78"}</definedName>
    <definedName name="ABC.XLS" localSheetId="10" hidden="1">{"'Quadro'!$A$4:$BG$78"}</definedName>
    <definedName name="ABC.XLS" localSheetId="11" hidden="1">{"'Quadro'!$A$4:$BG$78"}</definedName>
    <definedName name="ABC.XLS" localSheetId="5" hidden="1">{"'Quadro'!$A$4:$BG$78"}</definedName>
    <definedName name="ABC.XLS" localSheetId="4" hidden="1">{"'Quadro'!$A$4:$BG$78"}</definedName>
    <definedName name="ABC.XLS" hidden="1">{"'Quadro'!$A$4:$BG$78"}</definedName>
    <definedName name="abcd" localSheetId="3" hidden="1">{#N/A,#N/A,FALSE,"PCOL"}</definedName>
    <definedName name="abcd" localSheetId="6" hidden="1">{#N/A,#N/A,FALSE,"PCOL"}</definedName>
    <definedName name="abcd" localSheetId="7" hidden="1">{#N/A,#N/A,FALSE,"PCOL"}</definedName>
    <definedName name="abcd" localSheetId="10" hidden="1">{#N/A,#N/A,FALSE,"PCOL"}</definedName>
    <definedName name="abcd" localSheetId="11" hidden="1">{#N/A,#N/A,FALSE,"PCOL"}</definedName>
    <definedName name="abcd" localSheetId="5" hidden="1">{#N/A,#N/A,FALSE,"PCOL"}</definedName>
    <definedName name="abcd" localSheetId="4" hidden="1">{#N/A,#N/A,FALSE,"PCOL"}</definedName>
    <definedName name="abcd" hidden="1">{#N/A,#N/A,FALSE,"PCOL"}</definedName>
    <definedName name="abcde" localSheetId="3" hidden="1">{#N/A,#N/A,FALSE,"PCOL"}</definedName>
    <definedName name="abcde" localSheetId="6" hidden="1">{#N/A,#N/A,FALSE,"PCOL"}</definedName>
    <definedName name="abcde" localSheetId="7" hidden="1">{#N/A,#N/A,FALSE,"PCOL"}</definedName>
    <definedName name="abcde" localSheetId="10" hidden="1">{#N/A,#N/A,FALSE,"PCOL"}</definedName>
    <definedName name="abcde" localSheetId="11" hidden="1">{#N/A,#N/A,FALSE,"PCOL"}</definedName>
    <definedName name="abcde" localSheetId="5" hidden="1">{#N/A,#N/A,FALSE,"PCOL"}</definedName>
    <definedName name="abcde" localSheetId="4" hidden="1">{#N/A,#N/A,FALSE,"PCOL"}</definedName>
    <definedName name="abcde" hidden="1">{#N/A,#N/A,FALSE,"PCOL"}</definedName>
    <definedName name="abobora.xls" localSheetId="3" hidden="1">{"'Quadro'!$A$4:$BG$78"}</definedName>
    <definedName name="abobora.xls" localSheetId="6" hidden="1">{"'Quadro'!$A$4:$BG$78"}</definedName>
    <definedName name="abobora.xls" localSheetId="7" hidden="1">{"'Quadro'!$A$4:$BG$78"}</definedName>
    <definedName name="abobora.xls" localSheetId="10" hidden="1">{"'Quadro'!$A$4:$BG$78"}</definedName>
    <definedName name="abobora.xls" localSheetId="11" hidden="1">{"'Quadro'!$A$4:$BG$78"}</definedName>
    <definedName name="abobora.xls" localSheetId="5" hidden="1">{"'Quadro'!$A$4:$BG$78"}</definedName>
    <definedName name="abobora.xls" localSheetId="4" hidden="1">{"'Quadro'!$A$4:$BG$78"}</definedName>
    <definedName name="abobora.xls" hidden="1">{"'Quadro'!$A$4:$BG$78"}</definedName>
    <definedName name="AccessDatabase" hidden="1">"C:\Documents and Settings\JPMELLO\Meus documentos\ARQUIVOS 2004\MONITORAMENTO OAC\Monitoramento de OAC.mdb"</definedName>
    <definedName name="adasdad" localSheetId="3" hidden="1">{"'gráf jan00'!$A$1:$AK$41"}</definedName>
    <definedName name="adasdad" localSheetId="6" hidden="1">{"'gráf jan00'!$A$1:$AK$41"}</definedName>
    <definedName name="adasdad" localSheetId="7" hidden="1">{"'gráf jan00'!$A$1:$AK$41"}</definedName>
    <definedName name="adasdad" localSheetId="10" hidden="1">{"'gráf jan00'!$A$1:$AK$41"}</definedName>
    <definedName name="adasdad" localSheetId="11" hidden="1">{"'gráf jan00'!$A$1:$AK$41"}</definedName>
    <definedName name="adasdad" localSheetId="5" hidden="1">{"'gráf jan00'!$A$1:$AK$41"}</definedName>
    <definedName name="adasdad" localSheetId="4" hidden="1">{"'gráf jan00'!$A$1:$AK$41"}</definedName>
    <definedName name="adasdad" hidden="1">{"'gráf jan00'!$A$1:$AK$41"}</definedName>
    <definedName name="ADED" localSheetId="3" hidden="1">{"'gráf jan00'!$A$1:$AK$41"}</definedName>
    <definedName name="ADED" localSheetId="6" hidden="1">{"'gráf jan00'!$A$1:$AK$41"}</definedName>
    <definedName name="ADED" localSheetId="7" hidden="1">{"'gráf jan00'!$A$1:$AK$41"}</definedName>
    <definedName name="ADED" localSheetId="10" hidden="1">{"'gráf jan00'!$A$1:$AK$41"}</definedName>
    <definedName name="ADED" localSheetId="11" hidden="1">{"'gráf jan00'!$A$1:$AK$41"}</definedName>
    <definedName name="ADED" localSheetId="5" hidden="1">{"'gráf jan00'!$A$1:$AK$41"}</definedName>
    <definedName name="ADED" localSheetId="4" hidden="1">{"'gráf jan00'!$A$1:$AK$41"}</definedName>
    <definedName name="ADED" hidden="1">{"'gráf jan00'!$A$1:$AK$41"}</definedName>
    <definedName name="Adequaqção" localSheetId="3" hidden="1">{"'gráf jan00'!$A$1:$AK$41"}</definedName>
    <definedName name="Adequaqção" localSheetId="6" hidden="1">{"'gráf jan00'!$A$1:$AK$41"}</definedName>
    <definedName name="Adequaqção" localSheetId="7" hidden="1">{"'gráf jan00'!$A$1:$AK$41"}</definedName>
    <definedName name="Adequaqção" localSheetId="10" hidden="1">{"'gráf jan00'!$A$1:$AK$41"}</definedName>
    <definedName name="Adequaqção" localSheetId="11" hidden="1">{"'gráf jan00'!$A$1:$AK$41"}</definedName>
    <definedName name="Adequaqção" localSheetId="5" hidden="1">{"'gráf jan00'!$A$1:$AK$41"}</definedName>
    <definedName name="Adequaqção" localSheetId="4" hidden="1">{"'gráf jan00'!$A$1:$AK$41"}</definedName>
    <definedName name="Adequaqção" hidden="1">{"'gráf jan00'!$A$1:$AK$41"}</definedName>
    <definedName name="aditivo" localSheetId="3" hidden="1">{#N/A,#N/A,FALSE,"PCOL"}</definedName>
    <definedName name="aditivo" localSheetId="6" hidden="1">{#N/A,#N/A,FALSE,"PCOL"}</definedName>
    <definedName name="aditivo" localSheetId="7" hidden="1">{#N/A,#N/A,FALSE,"PCOL"}</definedName>
    <definedName name="aditivo" localSheetId="10" hidden="1">{#N/A,#N/A,FALSE,"PCOL"}</definedName>
    <definedName name="aditivo" localSheetId="11" hidden="1">{#N/A,#N/A,FALSE,"PCOL"}</definedName>
    <definedName name="aditivo" localSheetId="5" hidden="1">{#N/A,#N/A,FALSE,"PCOL"}</definedName>
    <definedName name="aditivo" localSheetId="4" hidden="1">{#N/A,#N/A,FALSE,"PCOL"}</definedName>
    <definedName name="aditivo" hidden="1">{#N/A,#N/A,FALSE,"PCOL"}</definedName>
    <definedName name="adsf" localSheetId="3" hidden="1">{"'gráf jan00'!$A$1:$AK$41"}</definedName>
    <definedName name="adsf" localSheetId="6" hidden="1">{"'gráf jan00'!$A$1:$AK$41"}</definedName>
    <definedName name="adsf" localSheetId="7" hidden="1">{"'gráf jan00'!$A$1:$AK$41"}</definedName>
    <definedName name="adsf" localSheetId="10" hidden="1">{"'gráf jan00'!$A$1:$AK$41"}</definedName>
    <definedName name="adsf" localSheetId="11" hidden="1">{"'gráf jan00'!$A$1:$AK$41"}</definedName>
    <definedName name="adsf" localSheetId="5" hidden="1">{"'gráf jan00'!$A$1:$AK$41"}</definedName>
    <definedName name="adsf" localSheetId="4" hidden="1">{"'gráf jan00'!$A$1:$AK$41"}</definedName>
    <definedName name="adsf" hidden="1">{"'gráf jan00'!$A$1:$AK$41"}</definedName>
    <definedName name="aeaw" localSheetId="3" hidden="1">{#VALUE!,#N/A,FALSE,0;#N/A,#N/A,FALSE,0;#N/A,#N/A,FALSE,0;#N/A,#N/A,FALSE,0;#N/A,#N/A,FALSE,0;#N/A,#N/A,FALSE,0;#N/A,#N/A,FALSE,0;#N/A,#N/A,FALSE,0;#N/A,#N/A,FALSE,0;#N/A,#N/A,FALSE,0;#N/A,#N/A,FALSE,0;#N/A,#N/A,FALSE,0;#N/A,#N/A,FALSE,0;#N/A,#N/A,FALSE,0;#N/A,#N/A,FALSE,0;#N/A,#N/A,FALSE,0;#N/A,#N/A,FALSE,0}</definedName>
    <definedName name="aeaw" localSheetId="6" hidden="1">{#VALUE!,#N/A,FALSE,0;#N/A,#N/A,FALSE,0;#N/A,#N/A,FALSE,0;#N/A,#N/A,FALSE,0;#N/A,#N/A,FALSE,0;#N/A,#N/A,FALSE,0;#N/A,#N/A,FALSE,0;#N/A,#N/A,FALSE,0;#N/A,#N/A,FALSE,0;#N/A,#N/A,FALSE,0;#N/A,#N/A,FALSE,0;#N/A,#N/A,FALSE,0;#N/A,#N/A,FALSE,0;#N/A,#N/A,FALSE,0;#N/A,#N/A,FALSE,0;#N/A,#N/A,FALSE,0;#N/A,#N/A,FALSE,0}</definedName>
    <definedName name="aeaw" localSheetId="7" hidden="1">{#VALUE!,#N/A,FALSE,0;#N/A,#N/A,FALSE,0;#N/A,#N/A,FALSE,0;#N/A,#N/A,FALSE,0;#N/A,#N/A,FALSE,0;#N/A,#N/A,FALSE,0;#N/A,#N/A,FALSE,0;#N/A,#N/A,FALSE,0;#N/A,#N/A,FALSE,0;#N/A,#N/A,FALSE,0;#N/A,#N/A,FALSE,0;#N/A,#N/A,FALSE,0;#N/A,#N/A,FALSE,0;#N/A,#N/A,FALSE,0;#N/A,#N/A,FALSE,0;#N/A,#N/A,FALSE,0;#N/A,#N/A,FALSE,0}</definedName>
    <definedName name="aeaw" localSheetId="10" hidden="1">{#VALUE!,#N/A,FALSE,0;#N/A,#N/A,FALSE,0;#N/A,#N/A,FALSE,0;#N/A,#N/A,FALSE,0;#N/A,#N/A,FALSE,0;#N/A,#N/A,FALSE,0;#N/A,#N/A,FALSE,0;#N/A,#N/A,FALSE,0;#N/A,#N/A,FALSE,0;#N/A,#N/A,FALSE,0;#N/A,#N/A,FALSE,0;#N/A,#N/A,FALSE,0;#N/A,#N/A,FALSE,0;#N/A,#N/A,FALSE,0;#N/A,#N/A,FALSE,0;#N/A,#N/A,FALSE,0;#N/A,#N/A,FALSE,0}</definedName>
    <definedName name="aeaw" localSheetId="11" hidden="1">{#VALUE!,#N/A,FALSE,0;#N/A,#N/A,FALSE,0;#N/A,#N/A,FALSE,0;#N/A,#N/A,FALSE,0;#N/A,#N/A,FALSE,0;#N/A,#N/A,FALSE,0;#N/A,#N/A,FALSE,0;#N/A,#N/A,FALSE,0;#N/A,#N/A,FALSE,0;#N/A,#N/A,FALSE,0;#N/A,#N/A,FALSE,0;#N/A,#N/A,FALSE,0;#N/A,#N/A,FALSE,0;#N/A,#N/A,FALSE,0;#N/A,#N/A,FALSE,0;#N/A,#N/A,FALSE,0;#N/A,#N/A,FALSE,0}</definedName>
    <definedName name="aeaw" localSheetId="5" hidden="1">{#VALUE!,#N/A,FALSE,0;#N/A,#N/A,FALSE,0;#N/A,#N/A,FALSE,0;#N/A,#N/A,FALSE,0;#N/A,#N/A,FALSE,0;#N/A,#N/A,FALSE,0;#N/A,#N/A,FALSE,0;#N/A,#N/A,FALSE,0;#N/A,#N/A,FALSE,0;#N/A,#N/A,FALSE,0;#N/A,#N/A,FALSE,0;#N/A,#N/A,FALSE,0;#N/A,#N/A,FALSE,0;#N/A,#N/A,FALSE,0;#N/A,#N/A,FALSE,0;#N/A,#N/A,FALSE,0;#N/A,#N/A,FALSE,0}</definedName>
    <definedName name="aeaw" localSheetId="4" hidden="1">{#VALUE!,#N/A,FALSE,0;#N/A,#N/A,FALSE,0;#N/A,#N/A,FALSE,0;#N/A,#N/A,FALSE,0;#N/A,#N/A,FALSE,0;#N/A,#N/A,FALSE,0;#N/A,#N/A,FALSE,0;#N/A,#N/A,FALSE,0;#N/A,#N/A,FALSE,0;#N/A,#N/A,FALSE,0;#N/A,#N/A,FALSE,0;#N/A,#N/A,FALSE,0;#N/A,#N/A,FALSE,0;#N/A,#N/A,FALSE,0;#N/A,#N/A,FALSE,0;#N/A,#N/A,FALSE,0;#N/A,#N/A,FALSE,0}</definedName>
    <definedName name="aeaw" hidden="1">{#VALUE!,#N/A,FALSE,0;#N/A,#N/A,FALSE,0;#N/A,#N/A,FALSE,0;#N/A,#N/A,FALSE,0;#N/A,#N/A,FALSE,0;#N/A,#N/A,FALSE,0;#N/A,#N/A,FALSE,0;#N/A,#N/A,FALSE,0;#N/A,#N/A,FALSE,0;#N/A,#N/A,FALSE,0;#N/A,#N/A,FALSE,0;#N/A,#N/A,FALSE,0;#N/A,#N/A,FALSE,0;#N/A,#N/A,FALSE,0;#N/A,#N/A,FALSE,0;#N/A,#N/A,FALSE,0;#N/A,#N/A,FALSE,0}</definedName>
    <definedName name="afds" localSheetId="3" hidden="1">{"'gráf jan00'!$A$1:$AK$41"}</definedName>
    <definedName name="afds" localSheetId="6" hidden="1">{"'gráf jan00'!$A$1:$AK$41"}</definedName>
    <definedName name="afds" localSheetId="7" hidden="1">{"'gráf jan00'!$A$1:$AK$41"}</definedName>
    <definedName name="afds" localSheetId="10" hidden="1">{"'gráf jan00'!$A$1:$AK$41"}</definedName>
    <definedName name="afds" localSheetId="11" hidden="1">{"'gráf jan00'!$A$1:$AK$41"}</definedName>
    <definedName name="afds" localSheetId="5" hidden="1">{"'gráf jan00'!$A$1:$AK$41"}</definedName>
    <definedName name="afds" localSheetId="4" hidden="1">{"'gráf jan00'!$A$1:$AK$41"}</definedName>
    <definedName name="afds" hidden="1">{"'gráf jan00'!$A$1:$AK$41"}</definedName>
    <definedName name="AGAKLJDFK" localSheetId="3" hidden="1">{"'gráf jan00'!$A$1:$AK$41"}</definedName>
    <definedName name="AGAKLJDFK" localSheetId="6" hidden="1">{"'gráf jan00'!$A$1:$AK$41"}</definedName>
    <definedName name="AGAKLJDFK" localSheetId="7" hidden="1">{"'gráf jan00'!$A$1:$AK$41"}</definedName>
    <definedName name="AGAKLJDFK" localSheetId="10" hidden="1">{"'gráf jan00'!$A$1:$AK$41"}</definedName>
    <definedName name="AGAKLJDFK" localSheetId="11" hidden="1">{"'gráf jan00'!$A$1:$AK$41"}</definedName>
    <definedName name="AGAKLJDFK" localSheetId="5" hidden="1">{"'gráf jan00'!$A$1:$AK$41"}</definedName>
    <definedName name="AGAKLJDFK" localSheetId="4" hidden="1">{"'gráf jan00'!$A$1:$AK$41"}</definedName>
    <definedName name="AGAKLJDFK" hidden="1">{"'gráf jan00'!$A$1:$AK$41"}</definedName>
    <definedName name="ago" localSheetId="3"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go" localSheetId="6"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go" localSheetId="7"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go" localSheetId="10"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go" localSheetId="1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go" localSheetId="5"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go" localSheetId="4"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go" localSheetId="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go" localSheetId="2"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go"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gos" localSheetId="3"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gos" localSheetId="6"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gos" localSheetId="7"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gos" localSheetId="10"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gos" localSheetId="1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gos" localSheetId="5"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gos" localSheetId="4"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gos"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gost5" localSheetId="3" hidden="1">{"'gráf jan00'!$A$1:$AK$41"}</definedName>
    <definedName name="agost5" localSheetId="6" hidden="1">{"'gráf jan00'!$A$1:$AK$41"}</definedName>
    <definedName name="agost5" localSheetId="7" hidden="1">{"'gráf jan00'!$A$1:$AK$41"}</definedName>
    <definedName name="agost5" localSheetId="10" hidden="1">{"'gráf jan00'!$A$1:$AK$41"}</definedName>
    <definedName name="agost5" localSheetId="11" hidden="1">{"'gráf jan00'!$A$1:$AK$41"}</definedName>
    <definedName name="agost5" localSheetId="5" hidden="1">{"'gráf jan00'!$A$1:$AK$41"}</definedName>
    <definedName name="agost5" localSheetId="4" hidden="1">{"'gráf jan00'!$A$1:$AK$41"}</definedName>
    <definedName name="agost5" hidden="1">{"'gráf jan00'!$A$1:$AK$41"}</definedName>
    <definedName name="Agosto" localSheetId="3" hidden="1">{#N/A,#N/A,FALSE,"SITUAÇÃO DIÁRIA ";#N/A,#N/A,FALSE,"7 à 7"}</definedName>
    <definedName name="Agosto" localSheetId="6" hidden="1">{#N/A,#N/A,FALSE,"SITUAÇÃO DIÁRIA ";#N/A,#N/A,FALSE,"7 à 7"}</definedName>
    <definedName name="Agosto" localSheetId="7" hidden="1">{#N/A,#N/A,FALSE,"SITUAÇÃO DIÁRIA ";#N/A,#N/A,FALSE,"7 à 7"}</definedName>
    <definedName name="Agosto" localSheetId="10" hidden="1">{#N/A,#N/A,FALSE,"SITUAÇÃO DIÁRIA ";#N/A,#N/A,FALSE,"7 à 7"}</definedName>
    <definedName name="Agosto" localSheetId="11" hidden="1">{#N/A,#N/A,FALSE,"SITUAÇÃO DIÁRIA ";#N/A,#N/A,FALSE,"7 à 7"}</definedName>
    <definedName name="Agosto" localSheetId="5" hidden="1">{#N/A,#N/A,FALSE,"SITUAÇÃO DIÁRIA ";#N/A,#N/A,FALSE,"7 à 7"}</definedName>
    <definedName name="Agosto" localSheetId="4" hidden="1">{#N/A,#N/A,FALSE,"SITUAÇÃO DIÁRIA ";#N/A,#N/A,FALSE,"7 à 7"}</definedName>
    <definedName name="Agosto" hidden="1">{#N/A,#N/A,FALSE,"SITUAÇÃO DIÁRIA ";#N/A,#N/A,FALSE,"7 à 7"}</definedName>
    <definedName name="AHA" localSheetId="3" hidden="1">{"'RR'!$A$2:$E$81"}</definedName>
    <definedName name="AHA" localSheetId="6" hidden="1">{"'RR'!$A$2:$E$81"}</definedName>
    <definedName name="AHA" localSheetId="7" hidden="1">{"'RR'!$A$2:$E$81"}</definedName>
    <definedName name="AHA" localSheetId="10" hidden="1">{"'RR'!$A$2:$E$81"}</definedName>
    <definedName name="AHA" localSheetId="11" hidden="1">{"'RR'!$A$2:$E$81"}</definedName>
    <definedName name="AHA" localSheetId="5" hidden="1">{"'RR'!$A$2:$E$81"}</definedName>
    <definedName name="AHA" localSheetId="4" hidden="1">{"'RR'!$A$2:$E$81"}</definedName>
    <definedName name="AHA" hidden="1">{"'RR'!$A$2:$E$81"}</definedName>
    <definedName name="aina" localSheetId="3" hidden="1">{#N/A,#N/A,FALSE,"PCOL"}</definedName>
    <definedName name="aina" localSheetId="6" hidden="1">{#N/A,#N/A,FALSE,"PCOL"}</definedName>
    <definedName name="aina" localSheetId="7" hidden="1">{#N/A,#N/A,FALSE,"PCOL"}</definedName>
    <definedName name="aina" localSheetId="10" hidden="1">{#N/A,#N/A,FALSE,"PCOL"}</definedName>
    <definedName name="aina" localSheetId="11" hidden="1">{#N/A,#N/A,FALSE,"PCOL"}</definedName>
    <definedName name="aina" localSheetId="5" hidden="1">{#N/A,#N/A,FALSE,"PCOL"}</definedName>
    <definedName name="aina" localSheetId="4" hidden="1">{#N/A,#N/A,FALSE,"PCOL"}</definedName>
    <definedName name="aina" hidden="1">{#N/A,#N/A,FALSE,"PCOL"}</definedName>
    <definedName name="ALB" localSheetId="3"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LB" localSheetId="6"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LB" localSheetId="7"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LB" localSheetId="10"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LB" localSheetId="1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LB" localSheetId="5"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LB" localSheetId="4"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LB"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LVENARIA">#N/A</definedName>
    <definedName name="amortizaciones" localSheetId="3"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amortizaciones" localSheetId="6"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amortizaciones" localSheetId="7"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amortizaciones" localSheetId="10"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amortizaciones" localSheetId="11"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amortizaciones" localSheetId="5"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amortizaciones" localSheetId="4"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amortizaciones"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AMV" localSheetId="3" hidden="1">{"'gráf jan00'!$A$1:$AK$41"}</definedName>
    <definedName name="AMV" localSheetId="6" hidden="1">{"'gráf jan00'!$A$1:$AK$41"}</definedName>
    <definedName name="AMV" localSheetId="7" hidden="1">{"'gráf jan00'!$A$1:$AK$41"}</definedName>
    <definedName name="AMV" localSheetId="10" hidden="1">{"'gráf jan00'!$A$1:$AK$41"}</definedName>
    <definedName name="AMV" localSheetId="11" hidden="1">{"'gráf jan00'!$A$1:$AK$41"}</definedName>
    <definedName name="AMV" localSheetId="5" hidden="1">{"'gráf jan00'!$A$1:$AK$41"}</definedName>
    <definedName name="AMV" localSheetId="4" hidden="1">{"'gráf jan00'!$A$1:$AK$41"}</definedName>
    <definedName name="AMV" hidden="1">{"'gráf jan00'!$A$1:$AK$41"}</definedName>
    <definedName name="ANEXO">#REF!</definedName>
    <definedName name="ANEXO1" localSheetId="3" hidden="1">{"'teste'!$B$2:$R$49"}</definedName>
    <definedName name="ANEXO1" localSheetId="6" hidden="1">{"'teste'!$B$2:$R$49"}</definedName>
    <definedName name="ANEXO1" localSheetId="7" hidden="1">{"'teste'!$B$2:$R$49"}</definedName>
    <definedName name="ANEXO1" localSheetId="10" hidden="1">{"'teste'!$B$2:$R$49"}</definedName>
    <definedName name="ANEXO1" localSheetId="11" hidden="1">{"'teste'!$B$2:$R$49"}</definedName>
    <definedName name="ANEXO1" localSheetId="5" hidden="1">{"'teste'!$B$2:$R$49"}</definedName>
    <definedName name="ANEXO1" localSheetId="4" hidden="1">{"'teste'!$B$2:$R$49"}</definedName>
    <definedName name="ANEXO1" hidden="1">{"'teste'!$B$2:$R$49"}</definedName>
    <definedName name="ANEXO2" localSheetId="3" hidden="1">{"'teste'!$B$2:$R$49"}</definedName>
    <definedName name="ANEXO2" localSheetId="6" hidden="1">{"'teste'!$B$2:$R$49"}</definedName>
    <definedName name="ANEXO2" localSheetId="7" hidden="1">{"'teste'!$B$2:$R$49"}</definedName>
    <definedName name="ANEXO2" localSheetId="10" hidden="1">{"'teste'!$B$2:$R$49"}</definedName>
    <definedName name="ANEXO2" localSheetId="11" hidden="1">{"'teste'!$B$2:$R$49"}</definedName>
    <definedName name="ANEXO2" localSheetId="5" hidden="1">{"'teste'!$B$2:$R$49"}</definedName>
    <definedName name="ANEXO2" localSheetId="4" hidden="1">{"'teste'!$B$2:$R$49"}</definedName>
    <definedName name="ANEXO2" hidden="1">{"'teste'!$B$2:$R$49"}</definedName>
    <definedName name="ans" localSheetId="3" hidden="1">{#N/A,#N/A,FALSE,"PCOL"}</definedName>
    <definedName name="ans" localSheetId="6" hidden="1">{#N/A,#N/A,FALSE,"PCOL"}</definedName>
    <definedName name="ans" localSheetId="7" hidden="1">{#N/A,#N/A,FALSE,"PCOL"}</definedName>
    <definedName name="ans" localSheetId="10" hidden="1">{#N/A,#N/A,FALSE,"PCOL"}</definedName>
    <definedName name="ans" localSheetId="11" hidden="1">{#N/A,#N/A,FALSE,"PCOL"}</definedName>
    <definedName name="ans" localSheetId="5" hidden="1">{#N/A,#N/A,FALSE,"PCOL"}</definedName>
    <definedName name="ans" localSheetId="4" hidden="1">{#N/A,#N/A,FALSE,"PCOL"}</definedName>
    <definedName name="ans" hidden="1">{#N/A,#N/A,FALSE,"PCOL"}</definedName>
    <definedName name="anscount" localSheetId="3" hidden="1">2</definedName>
    <definedName name="anscount" localSheetId="6" hidden="1">2</definedName>
    <definedName name="anscount" localSheetId="7" hidden="1">2</definedName>
    <definedName name="anscount" localSheetId="10" hidden="1">2</definedName>
    <definedName name="anscount" localSheetId="11" hidden="1">2</definedName>
    <definedName name="anscount" localSheetId="5" hidden="1">2</definedName>
    <definedName name="anscount" localSheetId="4" hidden="1">2</definedName>
    <definedName name="anscount" hidden="1">1</definedName>
    <definedName name="ANTT">'[10]Lt4 Anx 2.D'!$A$1:$AM$128</definedName>
    <definedName name="aq" localSheetId="3"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q" localSheetId="6"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q" localSheetId="7"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q" localSheetId="10"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q" localSheetId="1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q" localSheetId="5"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q" localSheetId="4"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q"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R" localSheetId="3" hidden="1">{"'Quadro'!$A$4:$BG$78"}</definedName>
    <definedName name="AR" localSheetId="6" hidden="1">{"'Quadro'!$A$4:$BG$78"}</definedName>
    <definedName name="AR" localSheetId="7" hidden="1">{"'Quadro'!$A$4:$BG$78"}</definedName>
    <definedName name="AR" localSheetId="10" hidden="1">{"'Quadro'!$A$4:$BG$78"}</definedName>
    <definedName name="AR" localSheetId="11" hidden="1">{"'Quadro'!$A$4:$BG$78"}</definedName>
    <definedName name="AR" localSheetId="5" hidden="1">{"'Quadro'!$A$4:$BG$78"}</definedName>
    <definedName name="AR" localSheetId="4" hidden="1">{"'Quadro'!$A$4:$BG$78"}</definedName>
    <definedName name="AR" hidden="1">{"'Quadro'!$A$4:$BG$78"}</definedName>
    <definedName name="Arara" localSheetId="3" hidden="1">{#N/A,#N/A,FALSE,"PCOL"}</definedName>
    <definedName name="Arara" localSheetId="6" hidden="1">{#N/A,#N/A,FALSE,"PCOL"}</definedName>
    <definedName name="Arara" localSheetId="7" hidden="1">{#N/A,#N/A,FALSE,"PCOL"}</definedName>
    <definedName name="Arara" localSheetId="10" hidden="1">{#N/A,#N/A,FALSE,"PCOL"}</definedName>
    <definedName name="Arara" localSheetId="11" hidden="1">{#N/A,#N/A,FALSE,"PCOL"}</definedName>
    <definedName name="Arara" localSheetId="5" hidden="1">{#N/A,#N/A,FALSE,"PCOL"}</definedName>
    <definedName name="Arara" localSheetId="4" hidden="1">{#N/A,#N/A,FALSE,"PCOL"}</definedName>
    <definedName name="Arara" hidden="1">{#N/A,#N/A,FALSE,"PCOL"}</definedName>
    <definedName name="_xlnm.Extract">#REF!</definedName>
    <definedName name="AREEWR" localSheetId="3" hidden="1">{"'Quadro'!$A$4:$BG$78"}</definedName>
    <definedName name="AREEWR" localSheetId="6" hidden="1">{"'Quadro'!$A$4:$BG$78"}</definedName>
    <definedName name="AREEWR" localSheetId="7" hidden="1">{"'Quadro'!$A$4:$BG$78"}</definedName>
    <definedName name="AREEWR" localSheetId="10" hidden="1">{"'Quadro'!$A$4:$BG$78"}</definedName>
    <definedName name="AREEWR" localSheetId="11" hidden="1">{"'Quadro'!$A$4:$BG$78"}</definedName>
    <definedName name="AREEWR" localSheetId="5" hidden="1">{"'Quadro'!$A$4:$BG$78"}</definedName>
    <definedName name="AREEWR" localSheetId="4" hidden="1">{"'Quadro'!$A$4:$BG$78"}</definedName>
    <definedName name="AREEWR" hidden="1">{"'Quadro'!$A$4:$BG$78"}</definedName>
    <definedName name="Arlindo" localSheetId="3" hidden="1">{#N/A,#N/A,FALSE,"Skjema 6.1 ";#N/A,#N/A,FALSE,"Skjema 6.2";#N/A,#N/A,FALSE,"Skjema 6.3";#N/A,#N/A,FALSE,"Skjema 6.4 ";#N/A,#N/A,FALSE,"Skjema 6.5";#N/A,#N/A,FALSE,"Skjema 6.6 ";#N/A,#N/A,FALSE,"Skjema 6.7 ";#N/A,#N/A,FALSE,"Skjema 6.8 ";#N/A,#N/A,FALSE,"Skjema 6.9";#N/A,#N/A,FALSE,"Skjema 6.10 ";#N/A,#N/A,FALSE,"Skjema 6.11 ";#N/A,#N/A,FALSE,"Skjema 6.12 ";#N/A,#N/A,FALSE,"Skjema 6.13 ";#N/A,#N/A,FALSE,"Skjema 6.14";#N/A,#N/A,FALSE,"Skjema 6.15 ";#N/A,#N/A,FALSE,"Skjema 6.16 ";#N/A,#N/A,FALSE,"Skjema 6.17 ";#N/A,#N/A,FALSE,"Skjema 6.18 ";#N/A,#N/A,FALSE,"Skjema 6.19 ";#N/A,#N/A,FALSE,"Skjema 6.20 ";#N/A,#N/A,FALSE,"Skjema 6.21";#N/A,#N/A,FALSE,"Skjema 6.22 ";#N/A,#N/A,FALSE,"Skjema 6.23 ";#N/A,#N/A,FALSE,"Skjema 6.24 ";#N/A,#N/A,FALSE,"Skjema 6.25";#N/A,#N/A,FALSE,"Skjema 6.26 ";#N/A,#N/A,FALSE,"Skjema 6.27";#N/A,#N/A,FALSE,"Skjema 6.28 ";#N/A,#N/A,FALSE,"Skjema 6.29";#N/A,#N/A,FALSE,"Skjema 6.30";#N/A,#N/A,FALSE,"Skjema 6.31";#N/A,#N/A,FALSE,"Skjema 6.31b"}</definedName>
    <definedName name="Arlindo" localSheetId="6" hidden="1">{#N/A,#N/A,FALSE,"Skjema 6.1 ";#N/A,#N/A,FALSE,"Skjema 6.2";#N/A,#N/A,FALSE,"Skjema 6.3";#N/A,#N/A,FALSE,"Skjema 6.4 ";#N/A,#N/A,FALSE,"Skjema 6.5";#N/A,#N/A,FALSE,"Skjema 6.6 ";#N/A,#N/A,FALSE,"Skjema 6.7 ";#N/A,#N/A,FALSE,"Skjema 6.8 ";#N/A,#N/A,FALSE,"Skjema 6.9";#N/A,#N/A,FALSE,"Skjema 6.10 ";#N/A,#N/A,FALSE,"Skjema 6.11 ";#N/A,#N/A,FALSE,"Skjema 6.12 ";#N/A,#N/A,FALSE,"Skjema 6.13 ";#N/A,#N/A,FALSE,"Skjema 6.14";#N/A,#N/A,FALSE,"Skjema 6.15 ";#N/A,#N/A,FALSE,"Skjema 6.16 ";#N/A,#N/A,FALSE,"Skjema 6.17 ";#N/A,#N/A,FALSE,"Skjema 6.18 ";#N/A,#N/A,FALSE,"Skjema 6.19 ";#N/A,#N/A,FALSE,"Skjema 6.20 ";#N/A,#N/A,FALSE,"Skjema 6.21";#N/A,#N/A,FALSE,"Skjema 6.22 ";#N/A,#N/A,FALSE,"Skjema 6.23 ";#N/A,#N/A,FALSE,"Skjema 6.24 ";#N/A,#N/A,FALSE,"Skjema 6.25";#N/A,#N/A,FALSE,"Skjema 6.26 ";#N/A,#N/A,FALSE,"Skjema 6.27";#N/A,#N/A,FALSE,"Skjema 6.28 ";#N/A,#N/A,FALSE,"Skjema 6.29";#N/A,#N/A,FALSE,"Skjema 6.30";#N/A,#N/A,FALSE,"Skjema 6.31";#N/A,#N/A,FALSE,"Skjema 6.31b"}</definedName>
    <definedName name="Arlindo" localSheetId="7" hidden="1">{#N/A,#N/A,FALSE,"Skjema 6.1 ";#N/A,#N/A,FALSE,"Skjema 6.2";#N/A,#N/A,FALSE,"Skjema 6.3";#N/A,#N/A,FALSE,"Skjema 6.4 ";#N/A,#N/A,FALSE,"Skjema 6.5";#N/A,#N/A,FALSE,"Skjema 6.6 ";#N/A,#N/A,FALSE,"Skjema 6.7 ";#N/A,#N/A,FALSE,"Skjema 6.8 ";#N/A,#N/A,FALSE,"Skjema 6.9";#N/A,#N/A,FALSE,"Skjema 6.10 ";#N/A,#N/A,FALSE,"Skjema 6.11 ";#N/A,#N/A,FALSE,"Skjema 6.12 ";#N/A,#N/A,FALSE,"Skjema 6.13 ";#N/A,#N/A,FALSE,"Skjema 6.14";#N/A,#N/A,FALSE,"Skjema 6.15 ";#N/A,#N/A,FALSE,"Skjema 6.16 ";#N/A,#N/A,FALSE,"Skjema 6.17 ";#N/A,#N/A,FALSE,"Skjema 6.18 ";#N/A,#N/A,FALSE,"Skjema 6.19 ";#N/A,#N/A,FALSE,"Skjema 6.20 ";#N/A,#N/A,FALSE,"Skjema 6.21";#N/A,#N/A,FALSE,"Skjema 6.22 ";#N/A,#N/A,FALSE,"Skjema 6.23 ";#N/A,#N/A,FALSE,"Skjema 6.24 ";#N/A,#N/A,FALSE,"Skjema 6.25";#N/A,#N/A,FALSE,"Skjema 6.26 ";#N/A,#N/A,FALSE,"Skjema 6.27";#N/A,#N/A,FALSE,"Skjema 6.28 ";#N/A,#N/A,FALSE,"Skjema 6.29";#N/A,#N/A,FALSE,"Skjema 6.30";#N/A,#N/A,FALSE,"Skjema 6.31";#N/A,#N/A,FALSE,"Skjema 6.31b"}</definedName>
    <definedName name="Arlindo" localSheetId="10" hidden="1">{#N/A,#N/A,FALSE,"Skjema 6.1 ";#N/A,#N/A,FALSE,"Skjema 6.2";#N/A,#N/A,FALSE,"Skjema 6.3";#N/A,#N/A,FALSE,"Skjema 6.4 ";#N/A,#N/A,FALSE,"Skjema 6.5";#N/A,#N/A,FALSE,"Skjema 6.6 ";#N/A,#N/A,FALSE,"Skjema 6.7 ";#N/A,#N/A,FALSE,"Skjema 6.8 ";#N/A,#N/A,FALSE,"Skjema 6.9";#N/A,#N/A,FALSE,"Skjema 6.10 ";#N/A,#N/A,FALSE,"Skjema 6.11 ";#N/A,#N/A,FALSE,"Skjema 6.12 ";#N/A,#N/A,FALSE,"Skjema 6.13 ";#N/A,#N/A,FALSE,"Skjema 6.14";#N/A,#N/A,FALSE,"Skjema 6.15 ";#N/A,#N/A,FALSE,"Skjema 6.16 ";#N/A,#N/A,FALSE,"Skjema 6.17 ";#N/A,#N/A,FALSE,"Skjema 6.18 ";#N/A,#N/A,FALSE,"Skjema 6.19 ";#N/A,#N/A,FALSE,"Skjema 6.20 ";#N/A,#N/A,FALSE,"Skjema 6.21";#N/A,#N/A,FALSE,"Skjema 6.22 ";#N/A,#N/A,FALSE,"Skjema 6.23 ";#N/A,#N/A,FALSE,"Skjema 6.24 ";#N/A,#N/A,FALSE,"Skjema 6.25";#N/A,#N/A,FALSE,"Skjema 6.26 ";#N/A,#N/A,FALSE,"Skjema 6.27";#N/A,#N/A,FALSE,"Skjema 6.28 ";#N/A,#N/A,FALSE,"Skjema 6.29";#N/A,#N/A,FALSE,"Skjema 6.30";#N/A,#N/A,FALSE,"Skjema 6.31";#N/A,#N/A,FALSE,"Skjema 6.31b"}</definedName>
    <definedName name="Arlindo" localSheetId="11" hidden="1">{#N/A,#N/A,FALSE,"Skjema 6.1 ";#N/A,#N/A,FALSE,"Skjema 6.2";#N/A,#N/A,FALSE,"Skjema 6.3";#N/A,#N/A,FALSE,"Skjema 6.4 ";#N/A,#N/A,FALSE,"Skjema 6.5";#N/A,#N/A,FALSE,"Skjema 6.6 ";#N/A,#N/A,FALSE,"Skjema 6.7 ";#N/A,#N/A,FALSE,"Skjema 6.8 ";#N/A,#N/A,FALSE,"Skjema 6.9";#N/A,#N/A,FALSE,"Skjema 6.10 ";#N/A,#N/A,FALSE,"Skjema 6.11 ";#N/A,#N/A,FALSE,"Skjema 6.12 ";#N/A,#N/A,FALSE,"Skjema 6.13 ";#N/A,#N/A,FALSE,"Skjema 6.14";#N/A,#N/A,FALSE,"Skjema 6.15 ";#N/A,#N/A,FALSE,"Skjema 6.16 ";#N/A,#N/A,FALSE,"Skjema 6.17 ";#N/A,#N/A,FALSE,"Skjema 6.18 ";#N/A,#N/A,FALSE,"Skjema 6.19 ";#N/A,#N/A,FALSE,"Skjema 6.20 ";#N/A,#N/A,FALSE,"Skjema 6.21";#N/A,#N/A,FALSE,"Skjema 6.22 ";#N/A,#N/A,FALSE,"Skjema 6.23 ";#N/A,#N/A,FALSE,"Skjema 6.24 ";#N/A,#N/A,FALSE,"Skjema 6.25";#N/A,#N/A,FALSE,"Skjema 6.26 ";#N/A,#N/A,FALSE,"Skjema 6.27";#N/A,#N/A,FALSE,"Skjema 6.28 ";#N/A,#N/A,FALSE,"Skjema 6.29";#N/A,#N/A,FALSE,"Skjema 6.30";#N/A,#N/A,FALSE,"Skjema 6.31";#N/A,#N/A,FALSE,"Skjema 6.31b"}</definedName>
    <definedName name="Arlindo" localSheetId="5" hidden="1">{#N/A,#N/A,FALSE,"Skjema 6.1 ";#N/A,#N/A,FALSE,"Skjema 6.2";#N/A,#N/A,FALSE,"Skjema 6.3";#N/A,#N/A,FALSE,"Skjema 6.4 ";#N/A,#N/A,FALSE,"Skjema 6.5";#N/A,#N/A,FALSE,"Skjema 6.6 ";#N/A,#N/A,FALSE,"Skjema 6.7 ";#N/A,#N/A,FALSE,"Skjema 6.8 ";#N/A,#N/A,FALSE,"Skjema 6.9";#N/A,#N/A,FALSE,"Skjema 6.10 ";#N/A,#N/A,FALSE,"Skjema 6.11 ";#N/A,#N/A,FALSE,"Skjema 6.12 ";#N/A,#N/A,FALSE,"Skjema 6.13 ";#N/A,#N/A,FALSE,"Skjema 6.14";#N/A,#N/A,FALSE,"Skjema 6.15 ";#N/A,#N/A,FALSE,"Skjema 6.16 ";#N/A,#N/A,FALSE,"Skjema 6.17 ";#N/A,#N/A,FALSE,"Skjema 6.18 ";#N/A,#N/A,FALSE,"Skjema 6.19 ";#N/A,#N/A,FALSE,"Skjema 6.20 ";#N/A,#N/A,FALSE,"Skjema 6.21";#N/A,#N/A,FALSE,"Skjema 6.22 ";#N/A,#N/A,FALSE,"Skjema 6.23 ";#N/A,#N/A,FALSE,"Skjema 6.24 ";#N/A,#N/A,FALSE,"Skjema 6.25";#N/A,#N/A,FALSE,"Skjema 6.26 ";#N/A,#N/A,FALSE,"Skjema 6.27";#N/A,#N/A,FALSE,"Skjema 6.28 ";#N/A,#N/A,FALSE,"Skjema 6.29";#N/A,#N/A,FALSE,"Skjema 6.30";#N/A,#N/A,FALSE,"Skjema 6.31";#N/A,#N/A,FALSE,"Skjema 6.31b"}</definedName>
    <definedName name="Arlindo" localSheetId="4" hidden="1">{#N/A,#N/A,FALSE,"Skjema 6.1 ";#N/A,#N/A,FALSE,"Skjema 6.2";#N/A,#N/A,FALSE,"Skjema 6.3";#N/A,#N/A,FALSE,"Skjema 6.4 ";#N/A,#N/A,FALSE,"Skjema 6.5";#N/A,#N/A,FALSE,"Skjema 6.6 ";#N/A,#N/A,FALSE,"Skjema 6.7 ";#N/A,#N/A,FALSE,"Skjema 6.8 ";#N/A,#N/A,FALSE,"Skjema 6.9";#N/A,#N/A,FALSE,"Skjema 6.10 ";#N/A,#N/A,FALSE,"Skjema 6.11 ";#N/A,#N/A,FALSE,"Skjema 6.12 ";#N/A,#N/A,FALSE,"Skjema 6.13 ";#N/A,#N/A,FALSE,"Skjema 6.14";#N/A,#N/A,FALSE,"Skjema 6.15 ";#N/A,#N/A,FALSE,"Skjema 6.16 ";#N/A,#N/A,FALSE,"Skjema 6.17 ";#N/A,#N/A,FALSE,"Skjema 6.18 ";#N/A,#N/A,FALSE,"Skjema 6.19 ";#N/A,#N/A,FALSE,"Skjema 6.20 ";#N/A,#N/A,FALSE,"Skjema 6.21";#N/A,#N/A,FALSE,"Skjema 6.22 ";#N/A,#N/A,FALSE,"Skjema 6.23 ";#N/A,#N/A,FALSE,"Skjema 6.24 ";#N/A,#N/A,FALSE,"Skjema 6.25";#N/A,#N/A,FALSE,"Skjema 6.26 ";#N/A,#N/A,FALSE,"Skjema 6.27";#N/A,#N/A,FALSE,"Skjema 6.28 ";#N/A,#N/A,FALSE,"Skjema 6.29";#N/A,#N/A,FALSE,"Skjema 6.30";#N/A,#N/A,FALSE,"Skjema 6.31";#N/A,#N/A,FALSE,"Skjema 6.31b"}</definedName>
    <definedName name="Arlindo" hidden="1">{#N/A,#N/A,FALSE,"Skjema 6.1 ";#N/A,#N/A,FALSE,"Skjema 6.2";#N/A,#N/A,FALSE,"Skjema 6.3";#N/A,#N/A,FALSE,"Skjema 6.4 ";#N/A,#N/A,FALSE,"Skjema 6.5";#N/A,#N/A,FALSE,"Skjema 6.6 ";#N/A,#N/A,FALSE,"Skjema 6.7 ";#N/A,#N/A,FALSE,"Skjema 6.8 ";#N/A,#N/A,FALSE,"Skjema 6.9";#N/A,#N/A,FALSE,"Skjema 6.10 ";#N/A,#N/A,FALSE,"Skjema 6.11 ";#N/A,#N/A,FALSE,"Skjema 6.12 ";#N/A,#N/A,FALSE,"Skjema 6.13 ";#N/A,#N/A,FALSE,"Skjema 6.14";#N/A,#N/A,FALSE,"Skjema 6.15 ";#N/A,#N/A,FALSE,"Skjema 6.16 ";#N/A,#N/A,FALSE,"Skjema 6.17 ";#N/A,#N/A,FALSE,"Skjema 6.18 ";#N/A,#N/A,FALSE,"Skjema 6.19 ";#N/A,#N/A,FALSE,"Skjema 6.20 ";#N/A,#N/A,FALSE,"Skjema 6.21";#N/A,#N/A,FALSE,"Skjema 6.22 ";#N/A,#N/A,FALSE,"Skjema 6.23 ";#N/A,#N/A,FALSE,"Skjema 6.24 ";#N/A,#N/A,FALSE,"Skjema 6.25";#N/A,#N/A,FALSE,"Skjema 6.26 ";#N/A,#N/A,FALSE,"Skjema 6.27";#N/A,#N/A,FALSE,"Skjema 6.28 ";#N/A,#N/A,FALSE,"Skjema 6.29";#N/A,#N/A,FALSE,"Skjema 6.30";#N/A,#N/A,FALSE,"Skjema 6.31";#N/A,#N/A,FALSE,"Skjema 6.31b"}</definedName>
    <definedName name="ARS" localSheetId="3" hidden="1">#REF!</definedName>
    <definedName name="ARS" localSheetId="6" hidden="1">#REF!</definedName>
    <definedName name="ARS" localSheetId="7" hidden="1">#REF!</definedName>
    <definedName name="ARS" localSheetId="10" hidden="1">#REF!</definedName>
    <definedName name="ARS" localSheetId="11" hidden="1">#REF!</definedName>
    <definedName name="ARS" hidden="1">#REF!</definedName>
    <definedName name="AS" localSheetId="3" hidden="1">#REF!</definedName>
    <definedName name="AS" localSheetId="6" hidden="1">#REF!</definedName>
    <definedName name="AS" localSheetId="7" hidden="1">#REF!</definedName>
    <definedName name="AS" localSheetId="10" hidden="1">#REF!</definedName>
    <definedName name="AS" hidden="1">#REF!</definedName>
    <definedName name="AS2DocOpenMode" hidden="1">"AS2DocumentEdit"</definedName>
    <definedName name="AS2NamedRange" hidden="1">18</definedName>
    <definedName name="AS2ReportLS" hidden="1">1</definedName>
    <definedName name="AS2SyncStepLS" hidden="1">0</definedName>
    <definedName name="AS2TickmarkLS" localSheetId="3" hidden="1">#REF!</definedName>
    <definedName name="AS2TickmarkLS" localSheetId="6" hidden="1">#REF!</definedName>
    <definedName name="AS2TickmarkLS" localSheetId="7" hidden="1">#REF!</definedName>
    <definedName name="AS2TickmarkLS" localSheetId="10" hidden="1">#REF!</definedName>
    <definedName name="AS2TickmarkLS" hidden="1">#REF!</definedName>
    <definedName name="AS2VersionLS" hidden="1">300</definedName>
    <definedName name="asaasaas" localSheetId="3" hidden="1">{#N/A,#N/A,TRUE,"indice";#N/A,#N/A,TRUE,"indicadores";#N/A,#N/A,TRUE,"comentarios"}</definedName>
    <definedName name="asaasaas" localSheetId="6" hidden="1">{#N/A,#N/A,TRUE,"indice";#N/A,#N/A,TRUE,"indicadores";#N/A,#N/A,TRUE,"comentarios"}</definedName>
    <definedName name="asaasaas" localSheetId="7" hidden="1">{#N/A,#N/A,TRUE,"indice";#N/A,#N/A,TRUE,"indicadores";#N/A,#N/A,TRUE,"comentarios"}</definedName>
    <definedName name="asaasaas" localSheetId="10" hidden="1">{#N/A,#N/A,TRUE,"indice";#N/A,#N/A,TRUE,"indicadores";#N/A,#N/A,TRUE,"comentarios"}</definedName>
    <definedName name="asaasaas" localSheetId="11" hidden="1">{#N/A,#N/A,TRUE,"indice";#N/A,#N/A,TRUE,"indicadores";#N/A,#N/A,TRUE,"comentarios"}</definedName>
    <definedName name="asaasaas" localSheetId="5" hidden="1">{#N/A,#N/A,TRUE,"indice";#N/A,#N/A,TRUE,"indicadores";#N/A,#N/A,TRUE,"comentarios"}</definedName>
    <definedName name="asaasaas" localSheetId="4" hidden="1">{#N/A,#N/A,TRUE,"indice";#N/A,#N/A,TRUE,"indicadores";#N/A,#N/A,TRUE,"comentarios"}</definedName>
    <definedName name="asaasaas" hidden="1">{#N/A,#N/A,TRUE,"indice";#N/A,#N/A,TRUE,"indicadores";#N/A,#N/A,TRUE,"comentarios"}</definedName>
    <definedName name="asaasas" localSheetId="3"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asaasas" localSheetId="6"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asaasas" localSheetId="7"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asaasas" localSheetId="10"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asaasas" localSheetId="11"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asaasas" localSheetId="5"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asaasas" localSheetId="4"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asaasas"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asdad" localSheetId="3" hidden="1">{"'gráf jan00'!$A$1:$AK$41"}</definedName>
    <definedName name="asdad" localSheetId="6" hidden="1">{"'gráf jan00'!$A$1:$AK$41"}</definedName>
    <definedName name="asdad" localSheetId="7" hidden="1">{"'gráf jan00'!$A$1:$AK$41"}</definedName>
    <definedName name="asdad" localSheetId="10" hidden="1">{"'gráf jan00'!$A$1:$AK$41"}</definedName>
    <definedName name="asdad" localSheetId="11" hidden="1">{"'gráf jan00'!$A$1:$AK$41"}</definedName>
    <definedName name="asdad" localSheetId="5" hidden="1">{"'gráf jan00'!$A$1:$AK$41"}</definedName>
    <definedName name="asdad" localSheetId="4" hidden="1">{"'gráf jan00'!$A$1:$AK$41"}</definedName>
    <definedName name="asdad" hidden="1">{"'gráf jan00'!$A$1:$AK$41"}</definedName>
    <definedName name="asdadadad" localSheetId="3" hidden="1">{"'gráf jan00'!$A$1:$AK$41"}</definedName>
    <definedName name="asdadadad" localSheetId="6" hidden="1">{"'gráf jan00'!$A$1:$AK$41"}</definedName>
    <definedName name="asdadadad" localSheetId="7" hidden="1">{"'gráf jan00'!$A$1:$AK$41"}</definedName>
    <definedName name="asdadadad" localSheetId="10" hidden="1">{"'gráf jan00'!$A$1:$AK$41"}</definedName>
    <definedName name="asdadadad" localSheetId="11" hidden="1">{"'gráf jan00'!$A$1:$AK$41"}</definedName>
    <definedName name="asdadadad" localSheetId="5" hidden="1">{"'gráf jan00'!$A$1:$AK$41"}</definedName>
    <definedName name="asdadadad" localSheetId="4" hidden="1">{"'gráf jan00'!$A$1:$AK$41"}</definedName>
    <definedName name="asdadadad" hidden="1">{"'gráf jan00'!$A$1:$AK$41"}</definedName>
    <definedName name="asdasdasdas" localSheetId="3" hidden="1">{"'gráf jan00'!$A$1:$AK$41"}</definedName>
    <definedName name="asdasdasdas" localSheetId="6" hidden="1">{"'gráf jan00'!$A$1:$AK$41"}</definedName>
    <definedName name="asdasdasdas" localSheetId="7" hidden="1">{"'gráf jan00'!$A$1:$AK$41"}</definedName>
    <definedName name="asdasdasdas" localSheetId="10" hidden="1">{"'gráf jan00'!$A$1:$AK$41"}</definedName>
    <definedName name="asdasdasdas" localSheetId="11" hidden="1">{"'gráf jan00'!$A$1:$AK$41"}</definedName>
    <definedName name="asdasdasdas" localSheetId="5" hidden="1">{"'gráf jan00'!$A$1:$AK$41"}</definedName>
    <definedName name="asdasdasdas" localSheetId="4" hidden="1">{"'gráf jan00'!$A$1:$AK$41"}</definedName>
    <definedName name="asdasdasdas" hidden="1">{"'gráf jan00'!$A$1:$AK$41"}</definedName>
    <definedName name="ASDF" localSheetId="3" hidden="1">{#N/A,#N/A,FALSE,"GERAL";#N/A,#N/A,FALSE,"012-96";#N/A,#N/A,FALSE,"018-96";#N/A,#N/A,FALSE,"027-96";#N/A,#N/A,FALSE,"059-96";#N/A,#N/A,FALSE,"076-96";#N/A,#N/A,FALSE,"019-97";#N/A,#N/A,FALSE,"021-97";#N/A,#N/A,FALSE,"022-97";#N/A,#N/A,FALSE,"028-97"}</definedName>
    <definedName name="ASDF" localSheetId="6" hidden="1">{#N/A,#N/A,FALSE,"GERAL";#N/A,#N/A,FALSE,"012-96";#N/A,#N/A,FALSE,"018-96";#N/A,#N/A,FALSE,"027-96";#N/A,#N/A,FALSE,"059-96";#N/A,#N/A,FALSE,"076-96";#N/A,#N/A,FALSE,"019-97";#N/A,#N/A,FALSE,"021-97";#N/A,#N/A,FALSE,"022-97";#N/A,#N/A,FALSE,"028-97"}</definedName>
    <definedName name="ASDF" localSheetId="7" hidden="1">{#N/A,#N/A,FALSE,"GERAL";#N/A,#N/A,FALSE,"012-96";#N/A,#N/A,FALSE,"018-96";#N/A,#N/A,FALSE,"027-96";#N/A,#N/A,FALSE,"059-96";#N/A,#N/A,FALSE,"076-96";#N/A,#N/A,FALSE,"019-97";#N/A,#N/A,FALSE,"021-97";#N/A,#N/A,FALSE,"022-97";#N/A,#N/A,FALSE,"028-97"}</definedName>
    <definedName name="ASDF" localSheetId="10" hidden="1">{#N/A,#N/A,FALSE,"GERAL";#N/A,#N/A,FALSE,"012-96";#N/A,#N/A,FALSE,"018-96";#N/A,#N/A,FALSE,"027-96";#N/A,#N/A,FALSE,"059-96";#N/A,#N/A,FALSE,"076-96";#N/A,#N/A,FALSE,"019-97";#N/A,#N/A,FALSE,"021-97";#N/A,#N/A,FALSE,"022-97";#N/A,#N/A,FALSE,"028-97"}</definedName>
    <definedName name="ASDF" localSheetId="11" hidden="1">{#N/A,#N/A,FALSE,"GERAL";#N/A,#N/A,FALSE,"012-96";#N/A,#N/A,FALSE,"018-96";#N/A,#N/A,FALSE,"027-96";#N/A,#N/A,FALSE,"059-96";#N/A,#N/A,FALSE,"076-96";#N/A,#N/A,FALSE,"019-97";#N/A,#N/A,FALSE,"021-97";#N/A,#N/A,FALSE,"022-97";#N/A,#N/A,FALSE,"028-97"}</definedName>
    <definedName name="ASDF" localSheetId="5" hidden="1">{#N/A,#N/A,FALSE,"GERAL";#N/A,#N/A,FALSE,"012-96";#N/A,#N/A,FALSE,"018-96";#N/A,#N/A,FALSE,"027-96";#N/A,#N/A,FALSE,"059-96";#N/A,#N/A,FALSE,"076-96";#N/A,#N/A,FALSE,"019-97";#N/A,#N/A,FALSE,"021-97";#N/A,#N/A,FALSE,"022-97";#N/A,#N/A,FALSE,"028-97"}</definedName>
    <definedName name="ASDF" localSheetId="4" hidden="1">{#N/A,#N/A,FALSE,"GERAL";#N/A,#N/A,FALSE,"012-96";#N/A,#N/A,FALSE,"018-96";#N/A,#N/A,FALSE,"027-96";#N/A,#N/A,FALSE,"059-96";#N/A,#N/A,FALSE,"076-96";#N/A,#N/A,FALSE,"019-97";#N/A,#N/A,FALSE,"021-97";#N/A,#N/A,FALSE,"022-97";#N/A,#N/A,FALSE,"028-97"}</definedName>
    <definedName name="ASDF" hidden="1">{#N/A,#N/A,FALSE,"GERAL";#N/A,#N/A,FALSE,"012-96";#N/A,#N/A,FALSE,"018-96";#N/A,#N/A,FALSE,"027-96";#N/A,#N/A,FALSE,"059-96";#N/A,#N/A,FALSE,"076-96";#N/A,#N/A,FALSE,"019-97";#N/A,#N/A,FALSE,"021-97";#N/A,#N/A,FALSE,"022-97";#N/A,#N/A,FALSE,"028-97"}</definedName>
    <definedName name="asdfa" localSheetId="3" hidden="1">#REF!</definedName>
    <definedName name="asdfa" localSheetId="6" hidden="1">#REF!</definedName>
    <definedName name="asdfa" localSheetId="7" hidden="1">#REF!</definedName>
    <definedName name="asdfa" localSheetId="10" hidden="1">#REF!</definedName>
    <definedName name="asdfa" localSheetId="11" hidden="1">#REF!</definedName>
    <definedName name="asdfa" hidden="1">#REF!</definedName>
    <definedName name="ASDFASFA" localSheetId="3" hidden="1">{#N/A,#N/A,TRUE,"Resumo de Preços"}</definedName>
    <definedName name="ASDFASFA" localSheetId="6" hidden="1">{#N/A,#N/A,TRUE,"Resumo de Preços"}</definedName>
    <definedName name="ASDFASFA" localSheetId="7" hidden="1">{#N/A,#N/A,TRUE,"Resumo de Preços"}</definedName>
    <definedName name="ASDFASFA" localSheetId="10" hidden="1">{#N/A,#N/A,TRUE,"Resumo de Preços"}</definedName>
    <definedName name="ASDFASFA" localSheetId="11" hidden="1">{#N/A,#N/A,TRUE,"Resumo de Preços"}</definedName>
    <definedName name="ASDFASFA" localSheetId="5" hidden="1">{#N/A,#N/A,TRUE,"Resumo de Preços"}</definedName>
    <definedName name="ASDFASFA" localSheetId="4" hidden="1">{#N/A,#N/A,TRUE,"Resumo de Preços"}</definedName>
    <definedName name="ASDFASFA" localSheetId="1" hidden="1">{#N/A,#N/A,TRUE,"Resumo de Preços"}</definedName>
    <definedName name="ASDFASFA" localSheetId="2" hidden="1">{#N/A,#N/A,TRUE,"Resumo de Preços"}</definedName>
    <definedName name="ASDFASFA" hidden="1">{#N/A,#N/A,TRUE,"Resumo de Preços"}</definedName>
    <definedName name="asdfasfsafasf" localSheetId="3" hidden="1">{"'CptDifn'!$AA$32:$AG$32"}</definedName>
    <definedName name="asdfasfsafasf" localSheetId="6" hidden="1">{"'CptDifn'!$AA$32:$AG$32"}</definedName>
    <definedName name="asdfasfsafasf" localSheetId="7" hidden="1">{"'CptDifn'!$AA$32:$AG$32"}</definedName>
    <definedName name="asdfasfsafasf" localSheetId="10" hidden="1">{"'CptDifn'!$AA$32:$AG$32"}</definedName>
    <definedName name="asdfasfsafasf" localSheetId="11" hidden="1">{"'CptDifn'!$AA$32:$AG$32"}</definedName>
    <definedName name="asdfasfsafasf" localSheetId="5" hidden="1">{"'CptDifn'!$AA$32:$AG$32"}</definedName>
    <definedName name="asdfasfsafasf" localSheetId="4" hidden="1">{"'CptDifn'!$AA$32:$AG$32"}</definedName>
    <definedName name="asdfasfsafasf" hidden="1">{"'CptDifn'!$AA$32:$AG$32"}</definedName>
    <definedName name="asdg" localSheetId="3" hidden="1">{"'gráf jan00'!$A$1:$AK$41"}</definedName>
    <definedName name="asdg" localSheetId="6" hidden="1">{"'gráf jan00'!$A$1:$AK$41"}</definedName>
    <definedName name="asdg" localSheetId="7" hidden="1">{"'gráf jan00'!$A$1:$AK$41"}</definedName>
    <definedName name="asdg" localSheetId="10" hidden="1">{"'gráf jan00'!$A$1:$AK$41"}</definedName>
    <definedName name="asdg" localSheetId="11" hidden="1">{"'gráf jan00'!$A$1:$AK$41"}</definedName>
    <definedName name="asdg" localSheetId="5" hidden="1">{"'gráf jan00'!$A$1:$AK$41"}</definedName>
    <definedName name="asdg" localSheetId="4" hidden="1">{"'gráf jan00'!$A$1:$AK$41"}</definedName>
    <definedName name="asdg" hidden="1">{"'gráf jan00'!$A$1:$AK$41"}</definedName>
    <definedName name="asdryhsdfh" localSheetId="3"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asdryhsdfh" localSheetId="6"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asdryhsdfh" localSheetId="7"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asdryhsdfh" localSheetId="10"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asdryhsdfh" localSheetId="11"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asdryhsdfh" localSheetId="5"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asdryhsdfh" localSheetId="4"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asdryhsdfh"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ASDSD" localSheetId="3" hidden="1">{"'Quadro'!$A$4:$BG$78"}</definedName>
    <definedName name="ASDSD" localSheetId="6" hidden="1">{"'Quadro'!$A$4:$BG$78"}</definedName>
    <definedName name="ASDSD" localSheetId="7" hidden="1">{"'Quadro'!$A$4:$BG$78"}</definedName>
    <definedName name="ASDSD" localSheetId="10" hidden="1">{"'Quadro'!$A$4:$BG$78"}</definedName>
    <definedName name="ASDSD" localSheetId="11" hidden="1">{"'Quadro'!$A$4:$BG$78"}</definedName>
    <definedName name="ASDSD" localSheetId="5" hidden="1">{"'Quadro'!$A$4:$BG$78"}</definedName>
    <definedName name="ASDSD" localSheetId="4" hidden="1">{"'Quadro'!$A$4:$BG$78"}</definedName>
    <definedName name="ASDSD" hidden="1">{"'Quadro'!$A$4:$BG$78"}</definedName>
    <definedName name="ASFD" localSheetId="3"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SFD" localSheetId="6"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SFD" localSheetId="7"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SFD" localSheetId="10"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SFD" localSheetId="1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SFD" localSheetId="5"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SFD" localSheetId="4"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SFD"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SFD1" localSheetId="3"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SFD1" localSheetId="6"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SFD1" localSheetId="7"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SFD1" localSheetId="10"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SFD1" localSheetId="1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SFD1" localSheetId="5"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SFD1" localSheetId="4"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SFD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SFD2" localSheetId="3"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SFD2" localSheetId="6"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SFD2" localSheetId="7"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SFD2" localSheetId="10"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SFD2" localSheetId="1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SFD2" localSheetId="5"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SFD2" localSheetId="4"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SFD2"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asfg1" localSheetId="3" hidden="1">{#N/A,#N/A,FALSE,"Cadastro";#N/A,#N/A,FALSE,"Diasmês";#N/A,#N/A,FALSE,"Refeição_3t";#N/A,#N/A,FALSE,"Refeição_Adm";#N/A,#N/A,FALSE,"Custo"}</definedName>
    <definedName name="asfg1" localSheetId="6" hidden="1">{#N/A,#N/A,FALSE,"Cadastro";#N/A,#N/A,FALSE,"Diasmês";#N/A,#N/A,FALSE,"Refeição_3t";#N/A,#N/A,FALSE,"Refeição_Adm";#N/A,#N/A,FALSE,"Custo"}</definedName>
    <definedName name="asfg1" localSheetId="7" hidden="1">{#N/A,#N/A,FALSE,"Cadastro";#N/A,#N/A,FALSE,"Diasmês";#N/A,#N/A,FALSE,"Refeição_3t";#N/A,#N/A,FALSE,"Refeição_Adm";#N/A,#N/A,FALSE,"Custo"}</definedName>
    <definedName name="asfg1" localSheetId="10" hidden="1">{#N/A,#N/A,FALSE,"Cadastro";#N/A,#N/A,FALSE,"Diasmês";#N/A,#N/A,FALSE,"Refeição_3t";#N/A,#N/A,FALSE,"Refeição_Adm";#N/A,#N/A,FALSE,"Custo"}</definedName>
    <definedName name="asfg1" localSheetId="11" hidden="1">{#N/A,#N/A,FALSE,"Cadastro";#N/A,#N/A,FALSE,"Diasmês";#N/A,#N/A,FALSE,"Refeição_3t";#N/A,#N/A,FALSE,"Refeição_Adm";#N/A,#N/A,FALSE,"Custo"}</definedName>
    <definedName name="asfg1" localSheetId="5" hidden="1">{#N/A,#N/A,FALSE,"Cadastro";#N/A,#N/A,FALSE,"Diasmês";#N/A,#N/A,FALSE,"Refeição_3t";#N/A,#N/A,FALSE,"Refeição_Adm";#N/A,#N/A,FALSE,"Custo"}</definedName>
    <definedName name="asfg1" localSheetId="4" hidden="1">{#N/A,#N/A,FALSE,"Cadastro";#N/A,#N/A,FALSE,"Diasmês";#N/A,#N/A,FALSE,"Refeição_3t";#N/A,#N/A,FALSE,"Refeição_Adm";#N/A,#N/A,FALSE,"Custo"}</definedName>
    <definedName name="asfg1" hidden="1">{#N/A,#N/A,FALSE,"Cadastro";#N/A,#N/A,FALSE,"Diasmês";#N/A,#N/A,FALSE,"Refeição_3t";#N/A,#N/A,FALSE,"Refeição_Adm";#N/A,#N/A,FALSE,"Custo"}</definedName>
    <definedName name="ASFSD" localSheetId="3" hidden="1">{#N/A,#N/A,FALSE,"GERAL";#N/A,#N/A,FALSE,"012-96";#N/A,#N/A,FALSE,"018-96";#N/A,#N/A,FALSE,"027-96";#N/A,#N/A,FALSE,"059-96";#N/A,#N/A,FALSE,"076-96";#N/A,#N/A,FALSE,"019-97";#N/A,#N/A,FALSE,"021-97";#N/A,#N/A,FALSE,"022-97";#N/A,#N/A,FALSE,"028-97"}</definedName>
    <definedName name="ASFSD" localSheetId="6" hidden="1">{#N/A,#N/A,FALSE,"GERAL";#N/A,#N/A,FALSE,"012-96";#N/A,#N/A,FALSE,"018-96";#N/A,#N/A,FALSE,"027-96";#N/A,#N/A,FALSE,"059-96";#N/A,#N/A,FALSE,"076-96";#N/A,#N/A,FALSE,"019-97";#N/A,#N/A,FALSE,"021-97";#N/A,#N/A,FALSE,"022-97";#N/A,#N/A,FALSE,"028-97"}</definedName>
    <definedName name="ASFSD" localSheetId="7" hidden="1">{#N/A,#N/A,FALSE,"GERAL";#N/A,#N/A,FALSE,"012-96";#N/A,#N/A,FALSE,"018-96";#N/A,#N/A,FALSE,"027-96";#N/A,#N/A,FALSE,"059-96";#N/A,#N/A,FALSE,"076-96";#N/A,#N/A,FALSE,"019-97";#N/A,#N/A,FALSE,"021-97";#N/A,#N/A,FALSE,"022-97";#N/A,#N/A,FALSE,"028-97"}</definedName>
    <definedName name="ASFSD" localSheetId="10" hidden="1">{#N/A,#N/A,FALSE,"GERAL";#N/A,#N/A,FALSE,"012-96";#N/A,#N/A,FALSE,"018-96";#N/A,#N/A,FALSE,"027-96";#N/A,#N/A,FALSE,"059-96";#N/A,#N/A,FALSE,"076-96";#N/A,#N/A,FALSE,"019-97";#N/A,#N/A,FALSE,"021-97";#N/A,#N/A,FALSE,"022-97";#N/A,#N/A,FALSE,"028-97"}</definedName>
    <definedName name="ASFSD" localSheetId="11" hidden="1">{#N/A,#N/A,FALSE,"GERAL";#N/A,#N/A,FALSE,"012-96";#N/A,#N/A,FALSE,"018-96";#N/A,#N/A,FALSE,"027-96";#N/A,#N/A,FALSE,"059-96";#N/A,#N/A,FALSE,"076-96";#N/A,#N/A,FALSE,"019-97";#N/A,#N/A,FALSE,"021-97";#N/A,#N/A,FALSE,"022-97";#N/A,#N/A,FALSE,"028-97"}</definedName>
    <definedName name="ASFSD" localSheetId="5" hidden="1">{#N/A,#N/A,FALSE,"GERAL";#N/A,#N/A,FALSE,"012-96";#N/A,#N/A,FALSE,"018-96";#N/A,#N/A,FALSE,"027-96";#N/A,#N/A,FALSE,"059-96";#N/A,#N/A,FALSE,"076-96";#N/A,#N/A,FALSE,"019-97";#N/A,#N/A,FALSE,"021-97";#N/A,#N/A,FALSE,"022-97";#N/A,#N/A,FALSE,"028-97"}</definedName>
    <definedName name="ASFSD" localSheetId="4" hidden="1">{#N/A,#N/A,FALSE,"GERAL";#N/A,#N/A,FALSE,"012-96";#N/A,#N/A,FALSE,"018-96";#N/A,#N/A,FALSE,"027-96";#N/A,#N/A,FALSE,"059-96";#N/A,#N/A,FALSE,"076-96";#N/A,#N/A,FALSE,"019-97";#N/A,#N/A,FALSE,"021-97";#N/A,#N/A,FALSE,"022-97";#N/A,#N/A,FALSE,"028-97"}</definedName>
    <definedName name="ASFSD" hidden="1">{#N/A,#N/A,FALSE,"GERAL";#N/A,#N/A,FALSE,"012-96";#N/A,#N/A,FALSE,"018-96";#N/A,#N/A,FALSE,"027-96";#N/A,#N/A,FALSE,"059-96";#N/A,#N/A,FALSE,"076-96";#N/A,#N/A,FALSE,"019-97";#N/A,#N/A,FALSE,"021-97";#N/A,#N/A,FALSE,"022-97";#N/A,#N/A,FALSE,"028-97"}</definedName>
    <definedName name="asrgadg" localSheetId="3"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asrgadg" localSheetId="6"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asrgadg" localSheetId="7"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asrgadg" localSheetId="10"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asrgadg" localSheetId="11"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asrgadg" localSheetId="5"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asrgadg" localSheetId="4"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asrgadg"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Assumptios2" localSheetId="3"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Assumptios2" localSheetId="6"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Assumptios2" localSheetId="7"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Assumptios2" localSheetId="10"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Assumptios2" localSheetId="11"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Assumptios2" localSheetId="5"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Assumptios2" localSheetId="4"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Assumptios2"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ASWEFGQ3" localSheetId="3" hidden="1">{"'gráf jan00'!$A$1:$AK$41"}</definedName>
    <definedName name="ASWEFGQ3" localSheetId="6" hidden="1">{"'gráf jan00'!$A$1:$AK$41"}</definedName>
    <definedName name="ASWEFGQ3" localSheetId="7" hidden="1">{"'gráf jan00'!$A$1:$AK$41"}</definedName>
    <definedName name="ASWEFGQ3" localSheetId="10" hidden="1">{"'gráf jan00'!$A$1:$AK$41"}</definedName>
    <definedName name="ASWEFGQ3" localSheetId="11" hidden="1">{"'gráf jan00'!$A$1:$AK$41"}</definedName>
    <definedName name="ASWEFGQ3" localSheetId="5" hidden="1">{"'gráf jan00'!$A$1:$AK$41"}</definedName>
    <definedName name="ASWEFGQ3" localSheetId="4" hidden="1">{"'gráf jan00'!$A$1:$AK$41"}</definedName>
    <definedName name="ASWEFGQ3" hidden="1">{"'gráf jan00'!$A$1:$AK$41"}</definedName>
    <definedName name="AT" localSheetId="3" hidden="1">{"'Quadro'!$A$4:$BG$78"}</definedName>
    <definedName name="AT" localSheetId="6" hidden="1">{"'Quadro'!$A$4:$BG$78"}</definedName>
    <definedName name="AT" localSheetId="7" hidden="1">{"'Quadro'!$A$4:$BG$78"}</definedName>
    <definedName name="AT" localSheetId="10" hidden="1">{"'Quadro'!$A$4:$BG$78"}</definedName>
    <definedName name="AT" localSheetId="11" hidden="1">{"'Quadro'!$A$4:$BG$78"}</definedName>
    <definedName name="AT" localSheetId="5" hidden="1">{"'Quadro'!$A$4:$BG$78"}</definedName>
    <definedName name="AT" localSheetId="4" hidden="1">{"'Quadro'!$A$4:$BG$78"}</definedName>
    <definedName name="AT" hidden="1">{"'Quadro'!$A$4:$BG$78"}</definedName>
    <definedName name="aux">#REF!</definedName>
    <definedName name="AUXCPU">'[11]CPU SICRO'!$C$1:$I$2003</definedName>
    <definedName name="AW" localSheetId="3" hidden="1">{"'Quadro'!$A$4:$BG$78"}</definedName>
    <definedName name="AW" localSheetId="6" hidden="1">{"'Quadro'!$A$4:$BG$78"}</definedName>
    <definedName name="AW" localSheetId="7" hidden="1">{"'Quadro'!$A$4:$BG$78"}</definedName>
    <definedName name="AW" localSheetId="10" hidden="1">{"'Quadro'!$A$4:$BG$78"}</definedName>
    <definedName name="AW" localSheetId="11" hidden="1">{"'Quadro'!$A$4:$BG$78"}</definedName>
    <definedName name="AW" localSheetId="5" hidden="1">{"'Quadro'!$A$4:$BG$78"}</definedName>
    <definedName name="AW" localSheetId="4" hidden="1">{"'Quadro'!$A$4:$BG$78"}</definedName>
    <definedName name="AW" hidden="1">{"'Quadro'!$A$4:$BG$78"}</definedName>
    <definedName name="awdasda" localSheetId="3"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awdasda" localSheetId="6"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awdasda" localSheetId="7"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awdasda" localSheetId="10"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awdasda" localSheetId="11"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awdasda" localSheetId="5"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awdasda" localSheetId="4"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awdasda"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azerty4" localSheetId="3"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azerty4" localSheetId="6"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azerty4" localSheetId="7"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azerty4" localSheetId="10"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azerty4" localSheetId="11"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azerty4" localSheetId="5"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azerty4" localSheetId="4"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azerty4"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b" localSheetId="3" hidden="1">{"'Índice'!$A$1:$K$49"}</definedName>
    <definedName name="b" localSheetId="6" hidden="1">{"'Índice'!$A$1:$K$49"}</definedName>
    <definedName name="b" localSheetId="7" hidden="1">{"'Índice'!$A$1:$K$49"}</definedName>
    <definedName name="b" localSheetId="10" hidden="1">{"'Índice'!$A$1:$K$49"}</definedName>
    <definedName name="b" localSheetId="11" hidden="1">{"'Índice'!$A$1:$K$49"}</definedName>
    <definedName name="b" localSheetId="5" hidden="1">{"'Índice'!$A$1:$K$49"}</definedName>
    <definedName name="b" localSheetId="4" hidden="1">{"'Índice'!$A$1:$K$49"}</definedName>
    <definedName name="b" localSheetId="1" hidden="1">{"'Índice'!$A$1:$K$49"}</definedName>
    <definedName name="b" localSheetId="2" hidden="1">{"'Índice'!$A$1:$K$49"}</definedName>
    <definedName name="b" hidden="1">{"'Índice'!$A$1:$K$49"}</definedName>
    <definedName name="balance" localSheetId="3"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balance" localSheetId="6"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balance" localSheetId="7"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balance" localSheetId="10"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balance" localSheetId="11"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balance" localSheetId="5"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balance" localSheetId="4"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balance"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balancete" localSheetId="3" hidden="1">{"VENTAS1",#N/A,FALSE,"VENTAS";"VENTAS2",#N/A,FALSE,"VENTAS";"VENTAS3",#N/A,FALSE,"VENTAS";"VENTAS4",#N/A,FALSE,"VENTAS";"VENTAS5",#N/A,FALSE,"VENTAS";"VENTAS6",#N/A,FALSE,"VENTAS";"VENTAS7",#N/A,FALSE,"VENTAS";"VENTAS8",#N/A,FALSE,"VENTAS"}</definedName>
    <definedName name="balancete" localSheetId="6" hidden="1">{"VENTAS1",#N/A,FALSE,"VENTAS";"VENTAS2",#N/A,FALSE,"VENTAS";"VENTAS3",#N/A,FALSE,"VENTAS";"VENTAS4",#N/A,FALSE,"VENTAS";"VENTAS5",#N/A,FALSE,"VENTAS";"VENTAS6",#N/A,FALSE,"VENTAS";"VENTAS7",#N/A,FALSE,"VENTAS";"VENTAS8",#N/A,FALSE,"VENTAS"}</definedName>
    <definedName name="balancete" localSheetId="7" hidden="1">{"VENTAS1",#N/A,FALSE,"VENTAS";"VENTAS2",#N/A,FALSE,"VENTAS";"VENTAS3",#N/A,FALSE,"VENTAS";"VENTAS4",#N/A,FALSE,"VENTAS";"VENTAS5",#N/A,FALSE,"VENTAS";"VENTAS6",#N/A,FALSE,"VENTAS";"VENTAS7",#N/A,FALSE,"VENTAS";"VENTAS8",#N/A,FALSE,"VENTAS"}</definedName>
    <definedName name="balancete" localSheetId="10" hidden="1">{"VENTAS1",#N/A,FALSE,"VENTAS";"VENTAS2",#N/A,FALSE,"VENTAS";"VENTAS3",#N/A,FALSE,"VENTAS";"VENTAS4",#N/A,FALSE,"VENTAS";"VENTAS5",#N/A,FALSE,"VENTAS";"VENTAS6",#N/A,FALSE,"VENTAS";"VENTAS7",#N/A,FALSE,"VENTAS";"VENTAS8",#N/A,FALSE,"VENTAS"}</definedName>
    <definedName name="balancete" localSheetId="11" hidden="1">{"VENTAS1",#N/A,FALSE,"VENTAS";"VENTAS2",#N/A,FALSE,"VENTAS";"VENTAS3",#N/A,FALSE,"VENTAS";"VENTAS4",#N/A,FALSE,"VENTAS";"VENTAS5",#N/A,FALSE,"VENTAS";"VENTAS6",#N/A,FALSE,"VENTAS";"VENTAS7",#N/A,FALSE,"VENTAS";"VENTAS8",#N/A,FALSE,"VENTAS"}</definedName>
    <definedName name="balancete" localSheetId="5" hidden="1">{"VENTAS1",#N/A,FALSE,"VENTAS";"VENTAS2",#N/A,FALSE,"VENTAS";"VENTAS3",#N/A,FALSE,"VENTAS";"VENTAS4",#N/A,FALSE,"VENTAS";"VENTAS5",#N/A,FALSE,"VENTAS";"VENTAS6",#N/A,FALSE,"VENTAS";"VENTAS7",#N/A,FALSE,"VENTAS";"VENTAS8",#N/A,FALSE,"VENTAS"}</definedName>
    <definedName name="balancete" localSheetId="4" hidden="1">{"VENTAS1",#N/A,FALSE,"VENTAS";"VENTAS2",#N/A,FALSE,"VENTAS";"VENTAS3",#N/A,FALSE,"VENTAS";"VENTAS4",#N/A,FALSE,"VENTAS";"VENTAS5",#N/A,FALSE,"VENTAS";"VENTAS6",#N/A,FALSE,"VENTAS";"VENTAS7",#N/A,FALSE,"VENTAS";"VENTAS8",#N/A,FALSE,"VENTAS"}</definedName>
    <definedName name="balancete" hidden="1">{"VENTAS1",#N/A,FALSE,"VENTAS";"VENTAS2",#N/A,FALSE,"VENTAS";"VENTAS3",#N/A,FALSE,"VENTAS";"VENTAS4",#N/A,FALSE,"VENTAS";"VENTAS5",#N/A,FALSE,"VENTAS";"VENTAS6",#N/A,FALSE,"VENTAS";"VENTAS7",#N/A,FALSE,"VENTAS";"VENTAS8",#N/A,FALSE,"VENTAS"}</definedName>
    <definedName name="_xlnm.Database" localSheetId="3">'[12]Cobertura Vegetal'!#REF!</definedName>
    <definedName name="_xlnm.Database" localSheetId="6">'[12]Cobertura Vegetal'!#REF!</definedName>
    <definedName name="_xlnm.Database" localSheetId="7">'[12]Cobertura Vegetal'!#REF!</definedName>
    <definedName name="_xlnm.Database" localSheetId="10">'[12]Cobertura Vegetal'!#REF!</definedName>
    <definedName name="_xlnm.Database" localSheetId="11">'[12]Cobertura Vegetal'!#REF!</definedName>
    <definedName name="_xlnm.Database" localSheetId="5">'[12]Cobertura Vegetal'!#REF!</definedName>
    <definedName name="_xlnm.Database" localSheetId="4">'[12]Cobertura Vegetal'!#REF!</definedName>
    <definedName name="_xlnm.Database" localSheetId="15">'[12]Cobertura Vegetal'!#REF!</definedName>
    <definedName name="_xlnm.Database">#REF!</definedName>
    <definedName name="Banco_de_dados_Mit">'[12]Cobertura Vegetal'!#REF!</definedName>
    <definedName name="bb" localSheetId="3" hidden="1">{#N/A,#N/A,FALSE,"ANEXO3 99 ERA";#N/A,#N/A,FALSE,"ANEXO3 99 UBÁ2";#N/A,#N/A,FALSE,"ANEXO3 99 DTU";#N/A,#N/A,FALSE,"ANEXO3 99 RDR";#N/A,#N/A,FALSE,"ANEXO3 99 UBÁ4";#N/A,#N/A,FALSE,"ANEXO3 99 UBÁ6"}</definedName>
    <definedName name="bb" localSheetId="6" hidden="1">{#N/A,#N/A,FALSE,"ANEXO3 99 ERA";#N/A,#N/A,FALSE,"ANEXO3 99 UBÁ2";#N/A,#N/A,FALSE,"ANEXO3 99 DTU";#N/A,#N/A,FALSE,"ANEXO3 99 RDR";#N/A,#N/A,FALSE,"ANEXO3 99 UBÁ4";#N/A,#N/A,FALSE,"ANEXO3 99 UBÁ6"}</definedName>
    <definedName name="bb" localSheetId="7" hidden="1">{#N/A,#N/A,FALSE,"ANEXO3 99 ERA";#N/A,#N/A,FALSE,"ANEXO3 99 UBÁ2";#N/A,#N/A,FALSE,"ANEXO3 99 DTU";#N/A,#N/A,FALSE,"ANEXO3 99 RDR";#N/A,#N/A,FALSE,"ANEXO3 99 UBÁ4";#N/A,#N/A,FALSE,"ANEXO3 99 UBÁ6"}</definedName>
    <definedName name="bb" localSheetId="10" hidden="1">{#N/A,#N/A,FALSE,"ANEXO3 99 ERA";#N/A,#N/A,FALSE,"ANEXO3 99 UBÁ2";#N/A,#N/A,FALSE,"ANEXO3 99 DTU";#N/A,#N/A,FALSE,"ANEXO3 99 RDR";#N/A,#N/A,FALSE,"ANEXO3 99 UBÁ4";#N/A,#N/A,FALSE,"ANEXO3 99 UBÁ6"}</definedName>
    <definedName name="bb" localSheetId="11" hidden="1">{#N/A,#N/A,FALSE,"ANEXO3 99 ERA";#N/A,#N/A,FALSE,"ANEXO3 99 UBÁ2";#N/A,#N/A,FALSE,"ANEXO3 99 DTU";#N/A,#N/A,FALSE,"ANEXO3 99 RDR";#N/A,#N/A,FALSE,"ANEXO3 99 UBÁ4";#N/A,#N/A,FALSE,"ANEXO3 99 UBÁ6"}</definedName>
    <definedName name="bb" localSheetId="5" hidden="1">{#N/A,#N/A,FALSE,"ANEXO3 99 ERA";#N/A,#N/A,FALSE,"ANEXO3 99 UBÁ2";#N/A,#N/A,FALSE,"ANEXO3 99 DTU";#N/A,#N/A,FALSE,"ANEXO3 99 RDR";#N/A,#N/A,FALSE,"ANEXO3 99 UBÁ4";#N/A,#N/A,FALSE,"ANEXO3 99 UBÁ6"}</definedName>
    <definedName name="bb" localSheetId="4" hidden="1">{#N/A,#N/A,FALSE,"ANEXO3 99 ERA";#N/A,#N/A,FALSE,"ANEXO3 99 UBÁ2";#N/A,#N/A,FALSE,"ANEXO3 99 DTU";#N/A,#N/A,FALSE,"ANEXO3 99 RDR";#N/A,#N/A,FALSE,"ANEXO3 99 UBÁ4";#N/A,#N/A,FALSE,"ANEXO3 99 UBÁ6"}</definedName>
    <definedName name="bb" hidden="1">{#N/A,#N/A,FALSE,"ANEXO3 99 ERA";#N/A,#N/A,FALSE,"ANEXO3 99 UBÁ2";#N/A,#N/A,FALSE,"ANEXO3 99 DTU";#N/A,#N/A,FALSE,"ANEXO3 99 RDR";#N/A,#N/A,FALSE,"ANEXO3 99 UBÁ4";#N/A,#N/A,FALSE,"ANEXO3 99 UBÁ6"}</definedName>
    <definedName name="bbb" localSheetId="3" hidden="1">{#N/A,#N/A,FALSE,"CW Summary";#N/A,#N/A,FALSE,"Weekly Tracking";#N/A,#N/A,FALSE,"MSA";#N/A,#N/A,FALSE,"Parts";#N/A,#N/A,FALSE,"RS";#N/A,#N/A,FALSE,"Mods";#N/A,#N/A,FALSE,"GEVISA";#N/A,#N/A,FALSE,"HQ"}</definedName>
    <definedName name="bbb" localSheetId="6" hidden="1">{#N/A,#N/A,FALSE,"CW Summary";#N/A,#N/A,FALSE,"Weekly Tracking";#N/A,#N/A,FALSE,"MSA";#N/A,#N/A,FALSE,"Parts";#N/A,#N/A,FALSE,"RS";#N/A,#N/A,FALSE,"Mods";#N/A,#N/A,FALSE,"GEVISA";#N/A,#N/A,FALSE,"HQ"}</definedName>
    <definedName name="bbb" localSheetId="7" hidden="1">{#N/A,#N/A,FALSE,"CW Summary";#N/A,#N/A,FALSE,"Weekly Tracking";#N/A,#N/A,FALSE,"MSA";#N/A,#N/A,FALSE,"Parts";#N/A,#N/A,FALSE,"RS";#N/A,#N/A,FALSE,"Mods";#N/A,#N/A,FALSE,"GEVISA";#N/A,#N/A,FALSE,"HQ"}</definedName>
    <definedName name="bbb" localSheetId="10" hidden="1">{#N/A,#N/A,FALSE,"CW Summary";#N/A,#N/A,FALSE,"Weekly Tracking";#N/A,#N/A,FALSE,"MSA";#N/A,#N/A,FALSE,"Parts";#N/A,#N/A,FALSE,"RS";#N/A,#N/A,FALSE,"Mods";#N/A,#N/A,FALSE,"GEVISA";#N/A,#N/A,FALSE,"HQ"}</definedName>
    <definedName name="bbb" localSheetId="11" hidden="1">{#N/A,#N/A,FALSE,"CW Summary";#N/A,#N/A,FALSE,"Weekly Tracking";#N/A,#N/A,FALSE,"MSA";#N/A,#N/A,FALSE,"Parts";#N/A,#N/A,FALSE,"RS";#N/A,#N/A,FALSE,"Mods";#N/A,#N/A,FALSE,"GEVISA";#N/A,#N/A,FALSE,"HQ"}</definedName>
    <definedName name="bbb" localSheetId="5" hidden="1">{#N/A,#N/A,FALSE,"CW Summary";#N/A,#N/A,FALSE,"Weekly Tracking";#N/A,#N/A,FALSE,"MSA";#N/A,#N/A,FALSE,"Parts";#N/A,#N/A,FALSE,"RS";#N/A,#N/A,FALSE,"Mods";#N/A,#N/A,FALSE,"GEVISA";#N/A,#N/A,FALSE,"HQ"}</definedName>
    <definedName name="bbb" localSheetId="4" hidden="1">{#N/A,#N/A,FALSE,"CW Summary";#N/A,#N/A,FALSE,"Weekly Tracking";#N/A,#N/A,FALSE,"MSA";#N/A,#N/A,FALSE,"Parts";#N/A,#N/A,FALSE,"RS";#N/A,#N/A,FALSE,"Mods";#N/A,#N/A,FALSE,"GEVISA";#N/A,#N/A,FALSE,"HQ"}</definedName>
    <definedName name="bbb" hidden="1">{#N/A,#N/A,FALSE,"CW Summary";#N/A,#N/A,FALSE,"Weekly Tracking";#N/A,#N/A,FALSE,"MSA";#N/A,#N/A,FALSE,"Parts";#N/A,#N/A,FALSE,"RS";#N/A,#N/A,FALSE,"Mods";#N/A,#N/A,FALSE,"GEVISA";#N/A,#N/A,FALSE,"HQ"}</definedName>
    <definedName name="bbbb" localSheetId="3" hidden="1">{#N/A,#N/A,FALSE,"PCOL"}</definedName>
    <definedName name="bbbb" localSheetId="6" hidden="1">{#N/A,#N/A,FALSE,"PCOL"}</definedName>
    <definedName name="bbbb" localSheetId="7" hidden="1">{#N/A,#N/A,FALSE,"PCOL"}</definedName>
    <definedName name="bbbb" localSheetId="10" hidden="1">{#N/A,#N/A,FALSE,"PCOL"}</definedName>
    <definedName name="bbbb" localSheetId="11" hidden="1">{#N/A,#N/A,FALSE,"PCOL"}</definedName>
    <definedName name="bbbb" localSheetId="5" hidden="1">{#N/A,#N/A,FALSE,"PCOL"}</definedName>
    <definedName name="bbbb" localSheetId="4" hidden="1">{#N/A,#N/A,FALSE,"PCOL"}</definedName>
    <definedName name="bbbb" hidden="1">{#N/A,#N/A,FALSE,"PCOL"}</definedName>
    <definedName name="bbbbbbbbbbbbbbbbbbbbbbbbbbbbbbbb" localSheetId="3" hidden="1">{"'REL CUSTODIF'!$B$1:$H$72"}</definedName>
    <definedName name="bbbbbbbbbbbbbbbbbbbbbbbbbbbbbbbb" localSheetId="6" hidden="1">{"'REL CUSTODIF'!$B$1:$H$72"}</definedName>
    <definedName name="bbbbbbbbbbbbbbbbbbbbbbbbbbbbbbbb" localSheetId="7" hidden="1">{"'REL CUSTODIF'!$B$1:$H$72"}</definedName>
    <definedName name="bbbbbbbbbbbbbbbbbbbbbbbbbbbbbbbb" localSheetId="10" hidden="1">{"'REL CUSTODIF'!$B$1:$H$72"}</definedName>
    <definedName name="bbbbbbbbbbbbbbbbbbbbbbbbbbbbbbbb" localSheetId="11" hidden="1">{"'REL CUSTODIF'!$B$1:$H$72"}</definedName>
    <definedName name="bbbbbbbbbbbbbbbbbbbbbbbbbbbbbbbb" localSheetId="5" hidden="1">{"'REL CUSTODIF'!$B$1:$H$72"}</definedName>
    <definedName name="bbbbbbbbbbbbbbbbbbbbbbbbbbbbbbbb" localSheetId="4" hidden="1">{"'REL CUSTODIF'!$B$1:$H$72"}</definedName>
    <definedName name="bbbbbbbbbbbbbbbbbbbbbbbbbbbbbbbb" hidden="1">{"'REL CUSTODIF'!$B$1:$H$72"}</definedName>
    <definedName name="bd" localSheetId="3" hidden="1">{"'IndicadoresRH'!$AA$50:$AP$67"}</definedName>
    <definedName name="bd" localSheetId="6" hidden="1">{"'IndicadoresRH'!$AA$50:$AP$67"}</definedName>
    <definedName name="bd" localSheetId="7" hidden="1">{"'IndicadoresRH'!$AA$50:$AP$67"}</definedName>
    <definedName name="bd" localSheetId="10" hidden="1">{"'IndicadoresRH'!$AA$50:$AP$67"}</definedName>
    <definedName name="bd" localSheetId="11" hidden="1">{"'IndicadoresRH'!$AA$50:$AP$67"}</definedName>
    <definedName name="bd" localSheetId="5" hidden="1">{"'IndicadoresRH'!$AA$50:$AP$67"}</definedName>
    <definedName name="bd" localSheetId="4" hidden="1">{"'IndicadoresRH'!$AA$50:$AP$67"}</definedName>
    <definedName name="bd" hidden="1">{"'IndicadoresRH'!$AA$50:$AP$67"}</definedName>
    <definedName name="BDI_LIST">[13]BDI!$C$34:$C$38</definedName>
    <definedName name="BENEFÍCIOS">'[13]$Preços'!$EA$73</definedName>
    <definedName name="BG_Del" hidden="1">15</definedName>
    <definedName name="BG_Ins" hidden="1">4</definedName>
    <definedName name="BG_Mod" hidden="1">6</definedName>
    <definedName name="BLANK" localSheetId="3"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LANK" localSheetId="6"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LANK" localSheetId="7"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LANK" localSheetId="10"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LANK" localSheetId="11"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LANK" localSheetId="5"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LANK" localSheetId="4"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LANK"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LANK2" localSheetId="3"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LANK2" localSheetId="6"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LANK2" localSheetId="7"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LANK2" localSheetId="10"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LANK2" localSheetId="11"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LANK2" localSheetId="5"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LANK2" localSheetId="4"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LANK2"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LPH1" hidden="1">[14]market!$E$7</definedName>
    <definedName name="BLPH10" hidden="1">[14]market!$O$12</definedName>
    <definedName name="BLPH11" hidden="1">[14]market!$Y$12</definedName>
    <definedName name="BLPH12" hidden="1">[14]market!$T$12</definedName>
    <definedName name="BLPH13" hidden="1">[14]market!$AD$12</definedName>
    <definedName name="BLPH14" hidden="1">[14]market!$AI$12</definedName>
    <definedName name="BLPH15" localSheetId="3" hidden="1">#REF!</definedName>
    <definedName name="BLPH15" localSheetId="6" hidden="1">#REF!</definedName>
    <definedName name="BLPH15" localSheetId="7" hidden="1">#REF!</definedName>
    <definedName name="BLPH15" localSheetId="10" hidden="1">#REF!</definedName>
    <definedName name="BLPH15" localSheetId="11" hidden="1">#REF!</definedName>
    <definedName name="BLPH15" hidden="1">#REF!</definedName>
    <definedName name="BLPH2" hidden="1">[14]market!$I$7</definedName>
    <definedName name="BLPH200001" hidden="1">'[15]Stock Chart'!$B$5</definedName>
    <definedName name="BLPH23" localSheetId="3" hidden="1">#REF!</definedName>
    <definedName name="BLPH23" localSheetId="6" hidden="1">#REF!</definedName>
    <definedName name="BLPH23" localSheetId="7" hidden="1">#REF!</definedName>
    <definedName name="BLPH23" localSheetId="10" hidden="1">#REF!</definedName>
    <definedName name="BLPH23" localSheetId="11" hidden="1">#REF!</definedName>
    <definedName name="BLPH23" hidden="1">#REF!</definedName>
    <definedName name="BLPH24" localSheetId="3" hidden="1">#REF!</definedName>
    <definedName name="BLPH24" localSheetId="6" hidden="1">#REF!</definedName>
    <definedName name="BLPH24" localSheetId="7" hidden="1">#REF!</definedName>
    <definedName name="BLPH24" localSheetId="10" hidden="1">#REF!</definedName>
    <definedName name="BLPH24" hidden="1">#REF!</definedName>
    <definedName name="BLPH25" localSheetId="3" hidden="1">#REF!</definedName>
    <definedName name="BLPH25" localSheetId="7" hidden="1">#REF!</definedName>
    <definedName name="BLPH25" localSheetId="10" hidden="1">#REF!</definedName>
    <definedName name="BLPH25" hidden="1">#REF!</definedName>
    <definedName name="BLPH3" hidden="1">[14]market!$M$7</definedName>
    <definedName name="BLPH4" hidden="1">[14]market!$Q$7</definedName>
    <definedName name="BLPH5" hidden="1">[14]market!$Z$7</definedName>
    <definedName name="BLPH6" hidden="1">[14]market!$T$7</definedName>
    <definedName name="BLPH7" hidden="1">[14]market!$AC$7</definedName>
    <definedName name="BLPH8" hidden="1">[14]market!$E$12</definedName>
    <definedName name="BLPH9" hidden="1">[14]market!$J$12</definedName>
    <definedName name="BROWN" localSheetId="3"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ROWN" localSheetId="6"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ROWN" localSheetId="7"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ROWN" localSheetId="10"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ROWN" localSheetId="11"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ROWN" localSheetId="5"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ROWN" localSheetId="4"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ROWN"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XF" localSheetId="3" hidden="1">{"'Quadro'!$A$4:$BG$78"}</definedName>
    <definedName name="BXF" localSheetId="6" hidden="1">{"'Quadro'!$A$4:$BG$78"}</definedName>
    <definedName name="BXF" localSheetId="7" hidden="1">{"'Quadro'!$A$4:$BG$78"}</definedName>
    <definedName name="BXF" localSheetId="10" hidden="1">{"'Quadro'!$A$4:$BG$78"}</definedName>
    <definedName name="BXF" localSheetId="11" hidden="1">{"'Quadro'!$A$4:$BG$78"}</definedName>
    <definedName name="BXF" localSheetId="5" hidden="1">{"'Quadro'!$A$4:$BG$78"}</definedName>
    <definedName name="BXF" localSheetId="4" hidden="1">{"'Quadro'!$A$4:$BG$78"}</definedName>
    <definedName name="BXF" hidden="1">{"'Quadro'!$A$4:$BG$78"}</definedName>
    <definedName name="ç" localSheetId="3" hidden="1">{"'gráf jan00'!$A$1:$AK$41"}</definedName>
    <definedName name="ç" localSheetId="6" hidden="1">{"'gráf jan00'!$A$1:$AK$41"}</definedName>
    <definedName name="ç" localSheetId="7" hidden="1">{"'gráf jan00'!$A$1:$AK$41"}</definedName>
    <definedName name="ç" localSheetId="10" hidden="1">{"'gráf jan00'!$A$1:$AK$41"}</definedName>
    <definedName name="ç" localSheetId="11" hidden="1">{"'gráf jan00'!$A$1:$AK$41"}</definedName>
    <definedName name="ç" localSheetId="5" hidden="1">{"'gráf jan00'!$A$1:$AK$41"}</definedName>
    <definedName name="ç" localSheetId="4" hidden="1">{"'gráf jan00'!$A$1:$AK$41"}</definedName>
    <definedName name="ç" hidden="1">{"'gráf jan00'!$A$1:$AK$41"}</definedName>
    <definedName name="c_c" localSheetId="3" hidden="1">{"'REL CUSTODIF'!$B$1:$H$72"}</definedName>
    <definedName name="c_c" localSheetId="6" hidden="1">{"'REL CUSTODIF'!$B$1:$H$72"}</definedName>
    <definedName name="c_c" localSheetId="7" hidden="1">{"'REL CUSTODIF'!$B$1:$H$72"}</definedName>
    <definedName name="c_c" localSheetId="10" hidden="1">{"'REL CUSTODIF'!$B$1:$H$72"}</definedName>
    <definedName name="c_c" localSheetId="11" hidden="1">{"'REL CUSTODIF'!$B$1:$H$72"}</definedName>
    <definedName name="c_c" localSheetId="5" hidden="1">{"'REL CUSTODIF'!$B$1:$H$72"}</definedName>
    <definedName name="c_c" localSheetId="4" hidden="1">{"'REL CUSTODIF'!$B$1:$H$72"}</definedName>
    <definedName name="c_c" hidden="1">{"'REL CUSTODIF'!$B$1:$H$72"}</definedName>
    <definedName name="CABECA">#REF!</definedName>
    <definedName name="CAPTAÇÃO" localSheetId="3" hidden="1">{#N/A,#N/A,FALSE,"GERAL";#N/A,#N/A,FALSE,"012-96";#N/A,#N/A,FALSE,"018-96";#N/A,#N/A,FALSE,"027-96";#N/A,#N/A,FALSE,"059-96";#N/A,#N/A,FALSE,"076-96";#N/A,#N/A,FALSE,"019-97";#N/A,#N/A,FALSE,"021-97";#N/A,#N/A,FALSE,"022-97";#N/A,#N/A,FALSE,"028-97"}</definedName>
    <definedName name="CAPTAÇÃO" localSheetId="6" hidden="1">{#N/A,#N/A,FALSE,"GERAL";#N/A,#N/A,FALSE,"012-96";#N/A,#N/A,FALSE,"018-96";#N/A,#N/A,FALSE,"027-96";#N/A,#N/A,FALSE,"059-96";#N/A,#N/A,FALSE,"076-96";#N/A,#N/A,FALSE,"019-97";#N/A,#N/A,FALSE,"021-97";#N/A,#N/A,FALSE,"022-97";#N/A,#N/A,FALSE,"028-97"}</definedName>
    <definedName name="CAPTAÇÃO" localSheetId="7" hidden="1">{#N/A,#N/A,FALSE,"GERAL";#N/A,#N/A,FALSE,"012-96";#N/A,#N/A,FALSE,"018-96";#N/A,#N/A,FALSE,"027-96";#N/A,#N/A,FALSE,"059-96";#N/A,#N/A,FALSE,"076-96";#N/A,#N/A,FALSE,"019-97";#N/A,#N/A,FALSE,"021-97";#N/A,#N/A,FALSE,"022-97";#N/A,#N/A,FALSE,"028-97"}</definedName>
    <definedName name="CAPTAÇÃO" localSheetId="10" hidden="1">{#N/A,#N/A,FALSE,"GERAL";#N/A,#N/A,FALSE,"012-96";#N/A,#N/A,FALSE,"018-96";#N/A,#N/A,FALSE,"027-96";#N/A,#N/A,FALSE,"059-96";#N/A,#N/A,FALSE,"076-96";#N/A,#N/A,FALSE,"019-97";#N/A,#N/A,FALSE,"021-97";#N/A,#N/A,FALSE,"022-97";#N/A,#N/A,FALSE,"028-97"}</definedName>
    <definedName name="CAPTAÇÃO" localSheetId="11" hidden="1">{#N/A,#N/A,FALSE,"GERAL";#N/A,#N/A,FALSE,"012-96";#N/A,#N/A,FALSE,"018-96";#N/A,#N/A,FALSE,"027-96";#N/A,#N/A,FALSE,"059-96";#N/A,#N/A,FALSE,"076-96";#N/A,#N/A,FALSE,"019-97";#N/A,#N/A,FALSE,"021-97";#N/A,#N/A,FALSE,"022-97";#N/A,#N/A,FALSE,"028-97"}</definedName>
    <definedName name="CAPTAÇÃO" localSheetId="5" hidden="1">{#N/A,#N/A,FALSE,"GERAL";#N/A,#N/A,FALSE,"012-96";#N/A,#N/A,FALSE,"018-96";#N/A,#N/A,FALSE,"027-96";#N/A,#N/A,FALSE,"059-96";#N/A,#N/A,FALSE,"076-96";#N/A,#N/A,FALSE,"019-97";#N/A,#N/A,FALSE,"021-97";#N/A,#N/A,FALSE,"022-97";#N/A,#N/A,FALSE,"028-97"}</definedName>
    <definedName name="CAPTAÇÃO" localSheetId="4" hidden="1">{#N/A,#N/A,FALSE,"GERAL";#N/A,#N/A,FALSE,"012-96";#N/A,#N/A,FALSE,"018-96";#N/A,#N/A,FALSE,"027-96";#N/A,#N/A,FALSE,"059-96";#N/A,#N/A,FALSE,"076-96";#N/A,#N/A,FALSE,"019-97";#N/A,#N/A,FALSE,"021-97";#N/A,#N/A,FALSE,"022-97";#N/A,#N/A,FALSE,"028-97"}</definedName>
    <definedName name="CAPTAÇÃO" hidden="1">{#N/A,#N/A,FALSE,"GERAL";#N/A,#N/A,FALSE,"012-96";#N/A,#N/A,FALSE,"018-96";#N/A,#N/A,FALSE,"027-96";#N/A,#N/A,FALSE,"059-96";#N/A,#N/A,FALSE,"076-96";#N/A,#N/A,FALSE,"019-97";#N/A,#N/A,FALSE,"021-97";#N/A,#N/A,FALSE,"022-97";#N/A,#N/A,FALSE,"028-97"}</definedName>
    <definedName name="car" localSheetId="3" hidden="1">{#N/A,#N/A,FALSE,"PCOL"}</definedName>
    <definedName name="car" localSheetId="6" hidden="1">{#N/A,#N/A,FALSE,"PCOL"}</definedName>
    <definedName name="car" localSheetId="7" hidden="1">{#N/A,#N/A,FALSE,"PCOL"}</definedName>
    <definedName name="car" localSheetId="10" hidden="1">{#N/A,#N/A,FALSE,"PCOL"}</definedName>
    <definedName name="car" localSheetId="11" hidden="1">{#N/A,#N/A,FALSE,"PCOL"}</definedName>
    <definedName name="car" localSheetId="5" hidden="1">{#N/A,#N/A,FALSE,"PCOL"}</definedName>
    <definedName name="car" localSheetId="4" hidden="1">{#N/A,#N/A,FALSE,"PCOL"}</definedName>
    <definedName name="car" hidden="1">{#N/A,#N/A,FALSE,"PCOL"}</definedName>
    <definedName name="Cash" localSheetId="3"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Cash" localSheetId="6"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Cash" localSheetId="7"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Cash" localSheetId="10"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Cash" localSheetId="11"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Cash" localSheetId="5"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Cash" localSheetId="4"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Cash"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CBWorkbookPriority" hidden="1">-216830483</definedName>
    <definedName name="cc" localSheetId="3" hidden="1">{#N/A,#N/A,FALSE,"ANEXO3 00 GDV";#N/A,#N/A,FALSE,"ANEXO3 00 GCM";#N/A,#N/A,FALSE,"ANEXO3 00  UBÁ6";#N/A,#N/A,FALSE,"ANEXO3 00 CJI";#N/A,#N/A,FALSE,"ANEXO3 00 UBÁ4";#N/A,#N/A,FALSE,"ANEXO3 00 UBÁ5";#N/A,#N/A,FALSE,"ANEXO3 00 UBÁ7";#N/A,#N/A,FALSE,"ANEXO3 00 VRB1"}</definedName>
    <definedName name="cc" localSheetId="6" hidden="1">{#N/A,#N/A,FALSE,"ANEXO3 00 GDV";#N/A,#N/A,FALSE,"ANEXO3 00 GCM";#N/A,#N/A,FALSE,"ANEXO3 00  UBÁ6";#N/A,#N/A,FALSE,"ANEXO3 00 CJI";#N/A,#N/A,FALSE,"ANEXO3 00 UBÁ4";#N/A,#N/A,FALSE,"ANEXO3 00 UBÁ5";#N/A,#N/A,FALSE,"ANEXO3 00 UBÁ7";#N/A,#N/A,FALSE,"ANEXO3 00 VRB1"}</definedName>
    <definedName name="cc" localSheetId="7" hidden="1">{#N/A,#N/A,FALSE,"ANEXO3 00 GDV";#N/A,#N/A,FALSE,"ANEXO3 00 GCM";#N/A,#N/A,FALSE,"ANEXO3 00  UBÁ6";#N/A,#N/A,FALSE,"ANEXO3 00 CJI";#N/A,#N/A,FALSE,"ANEXO3 00 UBÁ4";#N/A,#N/A,FALSE,"ANEXO3 00 UBÁ5";#N/A,#N/A,FALSE,"ANEXO3 00 UBÁ7";#N/A,#N/A,FALSE,"ANEXO3 00 VRB1"}</definedName>
    <definedName name="cc" localSheetId="10" hidden="1">{#N/A,#N/A,FALSE,"ANEXO3 00 GDV";#N/A,#N/A,FALSE,"ANEXO3 00 GCM";#N/A,#N/A,FALSE,"ANEXO3 00  UBÁ6";#N/A,#N/A,FALSE,"ANEXO3 00 CJI";#N/A,#N/A,FALSE,"ANEXO3 00 UBÁ4";#N/A,#N/A,FALSE,"ANEXO3 00 UBÁ5";#N/A,#N/A,FALSE,"ANEXO3 00 UBÁ7";#N/A,#N/A,FALSE,"ANEXO3 00 VRB1"}</definedName>
    <definedName name="cc" localSheetId="11" hidden="1">{#N/A,#N/A,FALSE,"ANEXO3 00 GDV";#N/A,#N/A,FALSE,"ANEXO3 00 GCM";#N/A,#N/A,FALSE,"ANEXO3 00  UBÁ6";#N/A,#N/A,FALSE,"ANEXO3 00 CJI";#N/A,#N/A,FALSE,"ANEXO3 00 UBÁ4";#N/A,#N/A,FALSE,"ANEXO3 00 UBÁ5";#N/A,#N/A,FALSE,"ANEXO3 00 UBÁ7";#N/A,#N/A,FALSE,"ANEXO3 00 VRB1"}</definedName>
    <definedName name="cc" localSheetId="5" hidden="1">{#N/A,#N/A,FALSE,"ANEXO3 00 GDV";#N/A,#N/A,FALSE,"ANEXO3 00 GCM";#N/A,#N/A,FALSE,"ANEXO3 00  UBÁ6";#N/A,#N/A,FALSE,"ANEXO3 00 CJI";#N/A,#N/A,FALSE,"ANEXO3 00 UBÁ4";#N/A,#N/A,FALSE,"ANEXO3 00 UBÁ5";#N/A,#N/A,FALSE,"ANEXO3 00 UBÁ7";#N/A,#N/A,FALSE,"ANEXO3 00 VRB1"}</definedName>
    <definedName name="cc" localSheetId="4" hidden="1">{#N/A,#N/A,FALSE,"ANEXO3 00 GDV";#N/A,#N/A,FALSE,"ANEXO3 00 GCM";#N/A,#N/A,FALSE,"ANEXO3 00  UBÁ6";#N/A,#N/A,FALSE,"ANEXO3 00 CJI";#N/A,#N/A,FALSE,"ANEXO3 00 UBÁ4";#N/A,#N/A,FALSE,"ANEXO3 00 UBÁ5";#N/A,#N/A,FALSE,"ANEXO3 00 UBÁ7";#N/A,#N/A,FALSE,"ANEXO3 00 VRB1"}</definedName>
    <definedName name="cc" hidden="1">{#N/A,#N/A,FALSE,"ANEXO3 00 GDV";#N/A,#N/A,FALSE,"ANEXO3 00 GCM";#N/A,#N/A,FALSE,"ANEXO3 00  UBÁ6";#N/A,#N/A,FALSE,"ANEXO3 00 CJI";#N/A,#N/A,FALSE,"ANEXO3 00 UBÁ4";#N/A,#N/A,FALSE,"ANEXO3 00 UBÁ5";#N/A,#N/A,FALSE,"ANEXO3 00 UBÁ7";#N/A,#N/A,FALSE,"ANEXO3 00 VRB1"}</definedName>
    <definedName name="ccc" localSheetId="3" hidden="1">{#N/A,#N/A,FALSE,"GERAL";#N/A,#N/A,FALSE,"012-96";#N/A,#N/A,FALSE,"018-96";#N/A,#N/A,FALSE,"027-96";#N/A,#N/A,FALSE,"059-96";#N/A,#N/A,FALSE,"076-96";#N/A,#N/A,FALSE,"019-97";#N/A,#N/A,FALSE,"021-97";#N/A,#N/A,FALSE,"022-97";#N/A,#N/A,FALSE,"028-97"}</definedName>
    <definedName name="ccc" localSheetId="6" hidden="1">{#N/A,#N/A,FALSE,"GERAL";#N/A,#N/A,FALSE,"012-96";#N/A,#N/A,FALSE,"018-96";#N/A,#N/A,FALSE,"027-96";#N/A,#N/A,FALSE,"059-96";#N/A,#N/A,FALSE,"076-96";#N/A,#N/A,FALSE,"019-97";#N/A,#N/A,FALSE,"021-97";#N/A,#N/A,FALSE,"022-97";#N/A,#N/A,FALSE,"028-97"}</definedName>
    <definedName name="ccc" localSheetId="7" hidden="1">{#N/A,#N/A,FALSE,"GERAL";#N/A,#N/A,FALSE,"012-96";#N/A,#N/A,FALSE,"018-96";#N/A,#N/A,FALSE,"027-96";#N/A,#N/A,FALSE,"059-96";#N/A,#N/A,FALSE,"076-96";#N/A,#N/A,FALSE,"019-97";#N/A,#N/A,FALSE,"021-97";#N/A,#N/A,FALSE,"022-97";#N/A,#N/A,FALSE,"028-97"}</definedName>
    <definedName name="ccc" localSheetId="10" hidden="1">{#N/A,#N/A,FALSE,"GERAL";#N/A,#N/A,FALSE,"012-96";#N/A,#N/A,FALSE,"018-96";#N/A,#N/A,FALSE,"027-96";#N/A,#N/A,FALSE,"059-96";#N/A,#N/A,FALSE,"076-96";#N/A,#N/A,FALSE,"019-97";#N/A,#N/A,FALSE,"021-97";#N/A,#N/A,FALSE,"022-97";#N/A,#N/A,FALSE,"028-97"}</definedName>
    <definedName name="ccc" localSheetId="11" hidden="1">{#N/A,#N/A,FALSE,"GERAL";#N/A,#N/A,FALSE,"012-96";#N/A,#N/A,FALSE,"018-96";#N/A,#N/A,FALSE,"027-96";#N/A,#N/A,FALSE,"059-96";#N/A,#N/A,FALSE,"076-96";#N/A,#N/A,FALSE,"019-97";#N/A,#N/A,FALSE,"021-97";#N/A,#N/A,FALSE,"022-97";#N/A,#N/A,FALSE,"028-97"}</definedName>
    <definedName name="ccc" localSheetId="5" hidden="1">{#N/A,#N/A,FALSE,"GERAL";#N/A,#N/A,FALSE,"012-96";#N/A,#N/A,FALSE,"018-96";#N/A,#N/A,FALSE,"027-96";#N/A,#N/A,FALSE,"059-96";#N/A,#N/A,FALSE,"076-96";#N/A,#N/A,FALSE,"019-97";#N/A,#N/A,FALSE,"021-97";#N/A,#N/A,FALSE,"022-97";#N/A,#N/A,FALSE,"028-97"}</definedName>
    <definedName name="ccc" localSheetId="4" hidden="1">{#N/A,#N/A,FALSE,"GERAL";#N/A,#N/A,FALSE,"012-96";#N/A,#N/A,FALSE,"018-96";#N/A,#N/A,FALSE,"027-96";#N/A,#N/A,FALSE,"059-96";#N/A,#N/A,FALSE,"076-96";#N/A,#N/A,FALSE,"019-97";#N/A,#N/A,FALSE,"021-97";#N/A,#N/A,FALSE,"022-97";#N/A,#N/A,FALSE,"028-97"}</definedName>
    <definedName name="ccc" hidden="1">{#N/A,#N/A,FALSE,"GERAL";#N/A,#N/A,FALSE,"012-96";#N/A,#N/A,FALSE,"018-96";#N/A,#N/A,FALSE,"027-96";#N/A,#N/A,FALSE,"059-96";#N/A,#N/A,FALSE,"076-96";#N/A,#N/A,FALSE,"019-97";#N/A,#N/A,FALSE,"021-97";#N/A,#N/A,FALSE,"022-97";#N/A,#N/A,FALSE,"028-97"}</definedName>
    <definedName name="CCCCC" localSheetId="3"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CCCCC" localSheetId="6"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CCCCC" localSheetId="7"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CCCCC" localSheetId="10"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CCCCC" localSheetId="1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CCCCC" localSheetId="5"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CCCCC" localSheetId="4"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CCCCC"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ccccccccc" localSheetId="3"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ccccccccc" localSheetId="6"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ccccccccc" localSheetId="7"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ccccccccc" localSheetId="10"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ccccccccc" localSheetId="11"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ccccccccc" localSheetId="5"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ccccccccc" localSheetId="4"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ccccccccc"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cenarios.tarifa2" localSheetId="3">#REF!</definedName>
    <definedName name="cenarios.tarifa2" localSheetId="6">#REF!</definedName>
    <definedName name="cenarios.tarifa2" localSheetId="7">#REF!</definedName>
    <definedName name="cenarios.tarifa2" localSheetId="10">#REF!</definedName>
    <definedName name="cenarios.tarifa2" localSheetId="11">#REF!</definedName>
    <definedName name="cenarios.tarifa2">#REF!</definedName>
    <definedName name="CGCIT" localSheetId="3">#REF!</definedName>
    <definedName name="CGCIT" localSheetId="6">#REF!</definedName>
    <definedName name="CGCIT" localSheetId="7">#REF!</definedName>
    <definedName name="CGCIT" localSheetId="10">#REF!</definedName>
    <definedName name="CGCIT">#REF!</definedName>
    <definedName name="Change" hidden="1">#N/A</definedName>
    <definedName name="Change2" hidden="1">#N/A</definedName>
    <definedName name="Change3" hidden="1">#N/A</definedName>
    <definedName name="Change4" hidden="1">#N/A</definedName>
    <definedName name="ChangeRange" hidden="1">#N/A</definedName>
    <definedName name="ChangeRange2" hidden="1">#N/A</definedName>
    <definedName name="charles" localSheetId="3" hidden="1">{"'gráf jan00'!$A$1:$AK$41"}</definedName>
    <definedName name="charles" localSheetId="6" hidden="1">{"'gráf jan00'!$A$1:$AK$41"}</definedName>
    <definedName name="charles" localSheetId="7" hidden="1">{"'gráf jan00'!$A$1:$AK$41"}</definedName>
    <definedName name="charles" localSheetId="10" hidden="1">{"'gráf jan00'!$A$1:$AK$41"}</definedName>
    <definedName name="charles" localSheetId="11" hidden="1">{"'gráf jan00'!$A$1:$AK$41"}</definedName>
    <definedName name="charles" localSheetId="5" hidden="1">{"'gráf jan00'!$A$1:$AK$41"}</definedName>
    <definedName name="charles" localSheetId="4" hidden="1">{"'gráf jan00'!$A$1:$AK$41"}</definedName>
    <definedName name="charles" hidden="1">{"'gráf jan00'!$A$1:$AK$41"}</definedName>
    <definedName name="CHECKSSO_OUT" localSheetId="3" hidden="1">{"'Quadro'!$A$4:$BG$78"}</definedName>
    <definedName name="CHECKSSO_OUT" localSheetId="6" hidden="1">{"'Quadro'!$A$4:$BG$78"}</definedName>
    <definedName name="CHECKSSO_OUT" localSheetId="7" hidden="1">{"'Quadro'!$A$4:$BG$78"}</definedName>
    <definedName name="CHECKSSO_OUT" localSheetId="10" hidden="1">{"'Quadro'!$A$4:$BG$78"}</definedName>
    <definedName name="CHECKSSO_OUT" localSheetId="11" hidden="1">{"'Quadro'!$A$4:$BG$78"}</definedName>
    <definedName name="CHECKSSO_OUT" localSheetId="5" hidden="1">{"'Quadro'!$A$4:$BG$78"}</definedName>
    <definedName name="CHECKSSO_OUT" localSheetId="4" hidden="1">{"'Quadro'!$A$4:$BG$78"}</definedName>
    <definedName name="CHECKSSO_OUT" hidden="1">{"'Quadro'!$A$4:$BG$78"}</definedName>
    <definedName name="chop" localSheetId="3" hidden="1">{"Pèrdues i Guanys analític.Català",#N/A,FALSE,"Català";"Pèrdues i G. analític.castellà",#N/A,FALSE,"Castellà"}</definedName>
    <definedName name="chop" localSheetId="6" hidden="1">{"Pèrdues i Guanys analític.Català",#N/A,FALSE,"Català";"Pèrdues i G. analític.castellà",#N/A,FALSE,"Castellà"}</definedName>
    <definedName name="chop" localSheetId="7" hidden="1">{"Pèrdues i Guanys analític.Català",#N/A,FALSE,"Català";"Pèrdues i G. analític.castellà",#N/A,FALSE,"Castellà"}</definedName>
    <definedName name="chop" localSheetId="10" hidden="1">{"Pèrdues i Guanys analític.Català",#N/A,FALSE,"Català";"Pèrdues i G. analític.castellà",#N/A,FALSE,"Castellà"}</definedName>
    <definedName name="chop" localSheetId="11" hidden="1">{"Pèrdues i Guanys analític.Català",#N/A,FALSE,"Català";"Pèrdues i G. analític.castellà",#N/A,FALSE,"Castellà"}</definedName>
    <definedName name="chop" localSheetId="5" hidden="1">{"Pèrdues i Guanys analític.Català",#N/A,FALSE,"Català";"Pèrdues i G. analític.castellà",#N/A,FALSE,"Castellà"}</definedName>
    <definedName name="chop" localSheetId="4" hidden="1">{"Pèrdues i Guanys analític.Català",#N/A,FALSE,"Català";"Pèrdues i G. analític.castellà",#N/A,FALSE,"Castellà"}</definedName>
    <definedName name="chop" hidden="1">{"Pèrdues i Guanys analític.Català",#N/A,FALSE,"Català";"Pèrdues i G. analític.castellà",#N/A,FALSE,"Castellà"}</definedName>
    <definedName name="ciclos" localSheetId="3" hidden="1">{"'RR'!$A$2:$E$81"}</definedName>
    <definedName name="ciclos" localSheetId="6" hidden="1">{"'RR'!$A$2:$E$81"}</definedName>
    <definedName name="ciclos" localSheetId="7" hidden="1">{"'RR'!$A$2:$E$81"}</definedName>
    <definedName name="ciclos" localSheetId="10" hidden="1">{"'RR'!$A$2:$E$81"}</definedName>
    <definedName name="ciclos" localSheetId="11" hidden="1">{"'RR'!$A$2:$E$81"}</definedName>
    <definedName name="ciclos" localSheetId="5" hidden="1">{"'RR'!$A$2:$E$81"}</definedName>
    <definedName name="ciclos" localSheetId="4" hidden="1">{"'RR'!$A$2:$E$81"}</definedName>
    <definedName name="ciclos" hidden="1">{"'RR'!$A$2:$E$81"}</definedName>
    <definedName name="cida" localSheetId="3" hidden="1">{#N/A,#N/A,FALSE,"PCOL"}</definedName>
    <definedName name="cida" localSheetId="6" hidden="1">{#N/A,#N/A,FALSE,"PCOL"}</definedName>
    <definedName name="cida" localSheetId="7" hidden="1">{#N/A,#N/A,FALSE,"PCOL"}</definedName>
    <definedName name="cida" localSheetId="10" hidden="1">{#N/A,#N/A,FALSE,"PCOL"}</definedName>
    <definedName name="cida" localSheetId="11" hidden="1">{#N/A,#N/A,FALSE,"PCOL"}</definedName>
    <definedName name="cida" localSheetId="5" hidden="1">{#N/A,#N/A,FALSE,"PCOL"}</definedName>
    <definedName name="cida" localSheetId="4" hidden="1">{#N/A,#N/A,FALSE,"PCOL"}</definedName>
    <definedName name="cida" hidden="1">{#N/A,#N/A,FALSE,"PCOL"}</definedName>
    <definedName name="ÇL" localSheetId="3" hidden="1">{"'Quadro'!$A$4:$BG$78"}</definedName>
    <definedName name="ÇL" localSheetId="6" hidden="1">{"'Quadro'!$A$4:$BG$78"}</definedName>
    <definedName name="ÇL" localSheetId="7" hidden="1">{"'Quadro'!$A$4:$BG$78"}</definedName>
    <definedName name="ÇL" localSheetId="10" hidden="1">{"'Quadro'!$A$4:$BG$78"}</definedName>
    <definedName name="ÇL" localSheetId="11" hidden="1">{"'Quadro'!$A$4:$BG$78"}</definedName>
    <definedName name="ÇL" localSheetId="5" hidden="1">{"'Quadro'!$A$4:$BG$78"}</definedName>
    <definedName name="ÇL" localSheetId="4" hidden="1">{"'Quadro'!$A$4:$BG$78"}</definedName>
    <definedName name="çl">#REF!</definedName>
    <definedName name="claudio" localSheetId="3" hidden="1">{"'gráf jan00'!$A$1:$AK$41"}</definedName>
    <definedName name="claudio" localSheetId="6" hidden="1">{"'gráf jan00'!$A$1:$AK$41"}</definedName>
    <definedName name="claudio" localSheetId="7" hidden="1">{"'gráf jan00'!$A$1:$AK$41"}</definedName>
    <definedName name="claudio" localSheetId="10" hidden="1">{"'gráf jan00'!$A$1:$AK$41"}</definedName>
    <definedName name="claudio" localSheetId="11" hidden="1">{"'gráf jan00'!$A$1:$AK$41"}</definedName>
    <definedName name="claudio" localSheetId="5" hidden="1">{"'gráf jan00'!$A$1:$AK$41"}</definedName>
    <definedName name="claudio" localSheetId="4" hidden="1">{"'gráf jan00'!$A$1:$AK$41"}</definedName>
    <definedName name="claudio" hidden="1">{"'gráf jan00'!$A$1:$AK$41"}</definedName>
    <definedName name="çlçl" localSheetId="3" hidden="1">{"'Quadro'!$A$4:$BG$78"}</definedName>
    <definedName name="çlçl" localSheetId="6" hidden="1">{"'Quadro'!$A$4:$BG$78"}</definedName>
    <definedName name="çlçl" localSheetId="7" hidden="1">{"'Quadro'!$A$4:$BG$78"}</definedName>
    <definedName name="çlçl" localSheetId="10" hidden="1">{"'Quadro'!$A$4:$BG$78"}</definedName>
    <definedName name="çlçl" localSheetId="11" hidden="1">{"'Quadro'!$A$4:$BG$78"}</definedName>
    <definedName name="çlçl" localSheetId="5" hidden="1">{"'Quadro'!$A$4:$BG$78"}</definedName>
    <definedName name="çlçl" localSheetId="4" hidden="1">{"'Quadro'!$A$4:$BG$78"}</definedName>
    <definedName name="çlçl" hidden="1">{"'Quadro'!$A$4:$BG$78"}</definedName>
    <definedName name="CMC" localSheetId="3" hidden="1">{"'Quadro'!$A$4:$BG$78"}</definedName>
    <definedName name="CMC" localSheetId="6" hidden="1">{"'Quadro'!$A$4:$BG$78"}</definedName>
    <definedName name="CMC" localSheetId="7" hidden="1">{"'Quadro'!$A$4:$BG$78"}</definedName>
    <definedName name="CMC" localSheetId="10" hidden="1">{"'Quadro'!$A$4:$BG$78"}</definedName>
    <definedName name="CMC" localSheetId="11" hidden="1">{"'Quadro'!$A$4:$BG$78"}</definedName>
    <definedName name="CMC" localSheetId="5" hidden="1">{"'Quadro'!$A$4:$BG$78"}</definedName>
    <definedName name="CMC" localSheetId="4" hidden="1">{"'Quadro'!$A$4:$BG$78"}</definedName>
    <definedName name="CMC" hidden="1">{"'Quadro'!$A$4:$BG$78"}</definedName>
    <definedName name="COBERTURA">#N/A</definedName>
    <definedName name="Cobra" localSheetId="3" hidden="1">{#N/A,#N/A,FALSE,"PCOL"}</definedName>
    <definedName name="Cobra" localSheetId="6" hidden="1">{#N/A,#N/A,FALSE,"PCOL"}</definedName>
    <definedName name="Cobra" localSheetId="7" hidden="1">{#N/A,#N/A,FALSE,"PCOL"}</definedName>
    <definedName name="Cobra" localSheetId="10" hidden="1">{#N/A,#N/A,FALSE,"PCOL"}</definedName>
    <definedName name="Cobra" localSheetId="11" hidden="1">{#N/A,#N/A,FALSE,"PCOL"}</definedName>
    <definedName name="Cobra" localSheetId="5" hidden="1">{#N/A,#N/A,FALSE,"PCOL"}</definedName>
    <definedName name="Cobra" localSheetId="4" hidden="1">{#N/A,#N/A,FALSE,"PCOL"}</definedName>
    <definedName name="Cobra" hidden="1">{#N/A,#N/A,FALSE,"PCOL"}</definedName>
    <definedName name="Cobre" localSheetId="3" hidden="1">{"'CptDifn'!$AA$32:$AG$32"}</definedName>
    <definedName name="Cobre" localSheetId="6" hidden="1">{"'CptDifn'!$AA$32:$AG$32"}</definedName>
    <definedName name="Cobre" localSheetId="7" hidden="1">{"'CptDifn'!$AA$32:$AG$32"}</definedName>
    <definedName name="Cobre" localSheetId="10" hidden="1">{"'CptDifn'!$AA$32:$AG$32"}</definedName>
    <definedName name="Cobre" localSheetId="11" hidden="1">{"'CptDifn'!$AA$32:$AG$32"}</definedName>
    <definedName name="Cobre" localSheetId="5" hidden="1">{"'CptDifn'!$AA$32:$AG$32"}</definedName>
    <definedName name="Cobre" localSheetId="4" hidden="1">{"'CptDifn'!$AA$32:$AG$32"}</definedName>
    <definedName name="Cobre" hidden="1">{"'CptDifn'!$AA$32:$AG$32"}</definedName>
    <definedName name="COD_DISP_ARA">'[13]$OAE'!#REF!</definedName>
    <definedName name="COD_PRÇ">'[13]$Preços'!$B$36:$B$1087</definedName>
    <definedName name="CONCEL" localSheetId="3" hidden="1">{#N/A,#N/A,FALSE,"GERAL";#N/A,#N/A,FALSE,"012-96";#N/A,#N/A,FALSE,"018-96";#N/A,#N/A,FALSE,"027-96";#N/A,#N/A,FALSE,"059-96";#N/A,#N/A,FALSE,"076-96";#N/A,#N/A,FALSE,"019-97";#N/A,#N/A,FALSE,"021-97";#N/A,#N/A,FALSE,"022-97";#N/A,#N/A,FALSE,"028-97"}</definedName>
    <definedName name="CONCEL" localSheetId="6" hidden="1">{#N/A,#N/A,FALSE,"GERAL";#N/A,#N/A,FALSE,"012-96";#N/A,#N/A,FALSE,"018-96";#N/A,#N/A,FALSE,"027-96";#N/A,#N/A,FALSE,"059-96";#N/A,#N/A,FALSE,"076-96";#N/A,#N/A,FALSE,"019-97";#N/A,#N/A,FALSE,"021-97";#N/A,#N/A,FALSE,"022-97";#N/A,#N/A,FALSE,"028-97"}</definedName>
    <definedName name="CONCEL" localSheetId="7" hidden="1">{#N/A,#N/A,FALSE,"GERAL";#N/A,#N/A,FALSE,"012-96";#N/A,#N/A,FALSE,"018-96";#N/A,#N/A,FALSE,"027-96";#N/A,#N/A,FALSE,"059-96";#N/A,#N/A,FALSE,"076-96";#N/A,#N/A,FALSE,"019-97";#N/A,#N/A,FALSE,"021-97";#N/A,#N/A,FALSE,"022-97";#N/A,#N/A,FALSE,"028-97"}</definedName>
    <definedName name="CONCEL" localSheetId="10" hidden="1">{#N/A,#N/A,FALSE,"GERAL";#N/A,#N/A,FALSE,"012-96";#N/A,#N/A,FALSE,"018-96";#N/A,#N/A,FALSE,"027-96";#N/A,#N/A,FALSE,"059-96";#N/A,#N/A,FALSE,"076-96";#N/A,#N/A,FALSE,"019-97";#N/A,#N/A,FALSE,"021-97";#N/A,#N/A,FALSE,"022-97";#N/A,#N/A,FALSE,"028-97"}</definedName>
    <definedName name="CONCEL" localSheetId="11" hidden="1">{#N/A,#N/A,FALSE,"GERAL";#N/A,#N/A,FALSE,"012-96";#N/A,#N/A,FALSE,"018-96";#N/A,#N/A,FALSE,"027-96";#N/A,#N/A,FALSE,"059-96";#N/A,#N/A,FALSE,"076-96";#N/A,#N/A,FALSE,"019-97";#N/A,#N/A,FALSE,"021-97";#N/A,#N/A,FALSE,"022-97";#N/A,#N/A,FALSE,"028-97"}</definedName>
    <definedName name="CONCEL" localSheetId="5" hidden="1">{#N/A,#N/A,FALSE,"GERAL";#N/A,#N/A,FALSE,"012-96";#N/A,#N/A,FALSE,"018-96";#N/A,#N/A,FALSE,"027-96";#N/A,#N/A,FALSE,"059-96";#N/A,#N/A,FALSE,"076-96";#N/A,#N/A,FALSE,"019-97";#N/A,#N/A,FALSE,"021-97";#N/A,#N/A,FALSE,"022-97";#N/A,#N/A,FALSE,"028-97"}</definedName>
    <definedName name="CONCEL" localSheetId="4" hidden="1">{#N/A,#N/A,FALSE,"GERAL";#N/A,#N/A,FALSE,"012-96";#N/A,#N/A,FALSE,"018-96";#N/A,#N/A,FALSE,"027-96";#N/A,#N/A,FALSE,"059-96";#N/A,#N/A,FALSE,"076-96";#N/A,#N/A,FALSE,"019-97";#N/A,#N/A,FALSE,"021-97";#N/A,#N/A,FALSE,"022-97";#N/A,#N/A,FALSE,"028-97"}</definedName>
    <definedName name="CONCEL" hidden="1">{#N/A,#N/A,FALSE,"GERAL";#N/A,#N/A,FALSE,"012-96";#N/A,#N/A,FALSE,"018-96";#N/A,#N/A,FALSE,"027-96";#N/A,#N/A,FALSE,"059-96";#N/A,#N/A,FALSE,"076-96";#N/A,#N/A,FALSE,"019-97";#N/A,#N/A,FALSE,"021-97";#N/A,#N/A,FALSE,"022-97";#N/A,#N/A,FALSE,"028-97"}</definedName>
    <definedName name="Concentrado_Cobre" localSheetId="3" hidden="1">{"'CptDifn'!$AA$32:$AG$32"}</definedName>
    <definedName name="Concentrado_Cobre" localSheetId="6" hidden="1">{"'CptDifn'!$AA$32:$AG$32"}</definedName>
    <definedName name="Concentrado_Cobre" localSheetId="7" hidden="1">{"'CptDifn'!$AA$32:$AG$32"}</definedName>
    <definedName name="Concentrado_Cobre" localSheetId="10" hidden="1">{"'CptDifn'!$AA$32:$AG$32"}</definedName>
    <definedName name="Concentrado_Cobre" localSheetId="11" hidden="1">{"'CptDifn'!$AA$32:$AG$32"}</definedName>
    <definedName name="Concentrado_Cobre" localSheetId="5" hidden="1">{"'CptDifn'!$AA$32:$AG$32"}</definedName>
    <definedName name="Concentrado_Cobre" localSheetId="4" hidden="1">{"'CptDifn'!$AA$32:$AG$32"}</definedName>
    <definedName name="Concentrado_Cobre" hidden="1">{"'CptDifn'!$AA$32:$AG$32"}</definedName>
    <definedName name="COONSUMO" localSheetId="3"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COONSUMO" localSheetId="6"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COONSUMO" localSheetId="7"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COONSUMO" localSheetId="10"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COONSUMO" localSheetId="11"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COONSUMO" localSheetId="5"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COONSUMO" localSheetId="4"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COONSUMO"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Copia" localSheetId="3" hidden="1">{#N/A,#N/A,FALSE,"PCOL"}</definedName>
    <definedName name="Copia" localSheetId="6" hidden="1">{#N/A,#N/A,FALSE,"PCOL"}</definedName>
    <definedName name="Copia" localSheetId="7" hidden="1">{#N/A,#N/A,FALSE,"PCOL"}</definedName>
    <definedName name="Copia" localSheetId="10" hidden="1">{#N/A,#N/A,FALSE,"PCOL"}</definedName>
    <definedName name="Copia" localSheetId="11" hidden="1">{#N/A,#N/A,FALSE,"PCOL"}</definedName>
    <definedName name="Copia" localSheetId="5" hidden="1">{#N/A,#N/A,FALSE,"PCOL"}</definedName>
    <definedName name="Copia" localSheetId="4" hidden="1">{#N/A,#N/A,FALSE,"PCOL"}</definedName>
    <definedName name="Copia" hidden="1">{#N/A,#N/A,FALSE,"PCOL"}</definedName>
    <definedName name="copiaranch" localSheetId="3"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copiaranch" localSheetId="6"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copiaranch" localSheetId="7"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copiaranch" localSheetId="10"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copiaranch" localSheetId="11"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copiaranch" localSheetId="5"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copiaranch" localSheetId="4"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copiaranch"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copiaranch2" localSheetId="3"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copiaranch2" localSheetId="6"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copiaranch2" localSheetId="7"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copiaranch2" localSheetId="10"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copiaranch2" localSheetId="11"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copiaranch2" localSheetId="5"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copiaranch2" localSheetId="4"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copiaranch2"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cor" localSheetId="3" hidden="1">{"'gráf jan00'!$A$1:$AK$41"}</definedName>
    <definedName name="cor" localSheetId="6" hidden="1">{"'gráf jan00'!$A$1:$AK$41"}</definedName>
    <definedName name="cor" localSheetId="7" hidden="1">{"'gráf jan00'!$A$1:$AK$41"}</definedName>
    <definedName name="cor" localSheetId="10" hidden="1">{"'gráf jan00'!$A$1:$AK$41"}</definedName>
    <definedName name="cor" localSheetId="11" hidden="1">{"'gráf jan00'!$A$1:$AK$41"}</definedName>
    <definedName name="cor" localSheetId="5" hidden="1">{"'gráf jan00'!$A$1:$AK$41"}</definedName>
    <definedName name="cor" localSheetId="4" hidden="1">{"'gráf jan00'!$A$1:$AK$41"}</definedName>
    <definedName name="cor" hidden="1">{"'gráf jan00'!$A$1:$AK$41"}</definedName>
    <definedName name="CORPO">#REF!</definedName>
    <definedName name="CPU">#REF!</definedName>
    <definedName name="CPU_MANUT_PAV">'[13]$Preços'!$CC$35:$CN$406</definedName>
    <definedName name="_xlnm.Criteria">#REF!</definedName>
    <definedName name="CRM" localSheetId="3" hidden="1">{#N/A,#N/A,FALSE,"ANEXO3 99 ERA";#N/A,#N/A,FALSE,"ANEXO3 99 UBÁ2";#N/A,#N/A,FALSE,"ANEXO3 99 DTU";#N/A,#N/A,FALSE,"ANEXO3 99 RDR";#N/A,#N/A,FALSE,"ANEXO3 99 UBÁ4";#N/A,#N/A,FALSE,"ANEXO3 99 UBÁ6"}</definedName>
    <definedName name="CRM" localSheetId="6" hidden="1">{#N/A,#N/A,FALSE,"ANEXO3 99 ERA";#N/A,#N/A,FALSE,"ANEXO3 99 UBÁ2";#N/A,#N/A,FALSE,"ANEXO3 99 DTU";#N/A,#N/A,FALSE,"ANEXO3 99 RDR";#N/A,#N/A,FALSE,"ANEXO3 99 UBÁ4";#N/A,#N/A,FALSE,"ANEXO3 99 UBÁ6"}</definedName>
    <definedName name="CRM" localSheetId="7" hidden="1">{#N/A,#N/A,FALSE,"ANEXO3 99 ERA";#N/A,#N/A,FALSE,"ANEXO3 99 UBÁ2";#N/A,#N/A,FALSE,"ANEXO3 99 DTU";#N/A,#N/A,FALSE,"ANEXO3 99 RDR";#N/A,#N/A,FALSE,"ANEXO3 99 UBÁ4";#N/A,#N/A,FALSE,"ANEXO3 99 UBÁ6"}</definedName>
    <definedName name="CRM" localSheetId="10" hidden="1">{#N/A,#N/A,FALSE,"ANEXO3 99 ERA";#N/A,#N/A,FALSE,"ANEXO3 99 UBÁ2";#N/A,#N/A,FALSE,"ANEXO3 99 DTU";#N/A,#N/A,FALSE,"ANEXO3 99 RDR";#N/A,#N/A,FALSE,"ANEXO3 99 UBÁ4";#N/A,#N/A,FALSE,"ANEXO3 99 UBÁ6"}</definedName>
    <definedName name="CRM" localSheetId="11" hidden="1">{#N/A,#N/A,FALSE,"ANEXO3 99 ERA";#N/A,#N/A,FALSE,"ANEXO3 99 UBÁ2";#N/A,#N/A,FALSE,"ANEXO3 99 DTU";#N/A,#N/A,FALSE,"ANEXO3 99 RDR";#N/A,#N/A,FALSE,"ANEXO3 99 UBÁ4";#N/A,#N/A,FALSE,"ANEXO3 99 UBÁ6"}</definedName>
    <definedName name="CRM" localSheetId="5" hidden="1">{#N/A,#N/A,FALSE,"ANEXO3 99 ERA";#N/A,#N/A,FALSE,"ANEXO3 99 UBÁ2";#N/A,#N/A,FALSE,"ANEXO3 99 DTU";#N/A,#N/A,FALSE,"ANEXO3 99 RDR";#N/A,#N/A,FALSE,"ANEXO3 99 UBÁ4";#N/A,#N/A,FALSE,"ANEXO3 99 UBÁ6"}</definedName>
    <definedName name="CRM" localSheetId="4" hidden="1">{#N/A,#N/A,FALSE,"ANEXO3 99 ERA";#N/A,#N/A,FALSE,"ANEXO3 99 UBÁ2";#N/A,#N/A,FALSE,"ANEXO3 99 DTU";#N/A,#N/A,FALSE,"ANEXO3 99 RDR";#N/A,#N/A,FALSE,"ANEXO3 99 UBÁ4";#N/A,#N/A,FALSE,"ANEXO3 99 UBÁ6"}</definedName>
    <definedName name="CRM" hidden="1">{#N/A,#N/A,FALSE,"ANEXO3 99 ERA";#N/A,#N/A,FALSE,"ANEXO3 99 UBÁ2";#N/A,#N/A,FALSE,"ANEXO3 99 DTU";#N/A,#N/A,FALSE,"ANEXO3 99 RDR";#N/A,#N/A,FALSE,"ANEXO3 99 UBÁ4";#N/A,#N/A,FALSE,"ANEXO3 99 UBÁ6"}</definedName>
    <definedName name="CRONO">[13]Crono!$G$33:$AJ$1007</definedName>
    <definedName name="CronogramadeExecuçãp2003" localSheetId="3" hidden="1">{#N/A,#N/A,FALSE,"ANEXO3 99 ERA";#N/A,#N/A,FALSE,"ANEXO3 99 UBÁ2";#N/A,#N/A,FALSE,"ANEXO3 99 DTU";#N/A,#N/A,FALSE,"ANEXO3 99 RDR";#N/A,#N/A,FALSE,"ANEXO3 99 UBÁ4";#N/A,#N/A,FALSE,"ANEXO3 99 UBÁ6"}</definedName>
    <definedName name="CronogramadeExecuçãp2003" localSheetId="6" hidden="1">{#N/A,#N/A,FALSE,"ANEXO3 99 ERA";#N/A,#N/A,FALSE,"ANEXO3 99 UBÁ2";#N/A,#N/A,FALSE,"ANEXO3 99 DTU";#N/A,#N/A,FALSE,"ANEXO3 99 RDR";#N/A,#N/A,FALSE,"ANEXO3 99 UBÁ4";#N/A,#N/A,FALSE,"ANEXO3 99 UBÁ6"}</definedName>
    <definedName name="CronogramadeExecuçãp2003" localSheetId="7" hidden="1">{#N/A,#N/A,FALSE,"ANEXO3 99 ERA";#N/A,#N/A,FALSE,"ANEXO3 99 UBÁ2";#N/A,#N/A,FALSE,"ANEXO3 99 DTU";#N/A,#N/A,FALSE,"ANEXO3 99 RDR";#N/A,#N/A,FALSE,"ANEXO3 99 UBÁ4";#N/A,#N/A,FALSE,"ANEXO3 99 UBÁ6"}</definedName>
    <definedName name="CronogramadeExecuçãp2003" localSheetId="10" hidden="1">{#N/A,#N/A,FALSE,"ANEXO3 99 ERA";#N/A,#N/A,FALSE,"ANEXO3 99 UBÁ2";#N/A,#N/A,FALSE,"ANEXO3 99 DTU";#N/A,#N/A,FALSE,"ANEXO3 99 RDR";#N/A,#N/A,FALSE,"ANEXO3 99 UBÁ4";#N/A,#N/A,FALSE,"ANEXO3 99 UBÁ6"}</definedName>
    <definedName name="CronogramadeExecuçãp2003" localSheetId="11" hidden="1">{#N/A,#N/A,FALSE,"ANEXO3 99 ERA";#N/A,#N/A,FALSE,"ANEXO3 99 UBÁ2";#N/A,#N/A,FALSE,"ANEXO3 99 DTU";#N/A,#N/A,FALSE,"ANEXO3 99 RDR";#N/A,#N/A,FALSE,"ANEXO3 99 UBÁ4";#N/A,#N/A,FALSE,"ANEXO3 99 UBÁ6"}</definedName>
    <definedName name="CronogramadeExecuçãp2003" localSheetId="5" hidden="1">{#N/A,#N/A,FALSE,"ANEXO3 99 ERA";#N/A,#N/A,FALSE,"ANEXO3 99 UBÁ2";#N/A,#N/A,FALSE,"ANEXO3 99 DTU";#N/A,#N/A,FALSE,"ANEXO3 99 RDR";#N/A,#N/A,FALSE,"ANEXO3 99 UBÁ4";#N/A,#N/A,FALSE,"ANEXO3 99 UBÁ6"}</definedName>
    <definedName name="CronogramadeExecuçãp2003" localSheetId="4" hidden="1">{#N/A,#N/A,FALSE,"ANEXO3 99 ERA";#N/A,#N/A,FALSE,"ANEXO3 99 UBÁ2";#N/A,#N/A,FALSE,"ANEXO3 99 DTU";#N/A,#N/A,FALSE,"ANEXO3 99 RDR";#N/A,#N/A,FALSE,"ANEXO3 99 UBÁ4";#N/A,#N/A,FALSE,"ANEXO3 99 UBÁ6"}</definedName>
    <definedName name="CronogramadeExecuçãp2003" hidden="1">{#N/A,#N/A,FALSE,"ANEXO3 99 ERA";#N/A,#N/A,FALSE,"ANEXO3 99 UBÁ2";#N/A,#N/A,FALSE,"ANEXO3 99 DTU";#N/A,#N/A,FALSE,"ANEXO3 99 RDR";#N/A,#N/A,FALSE,"ANEXO3 99 UBÁ4";#N/A,#N/A,FALSE,"ANEXO3 99 UBÁ6"}</definedName>
    <definedName name="CSLL" localSheetId="3"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CSLL" localSheetId="6"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CSLL" localSheetId="7"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CSLL" localSheetId="10"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CSLL" localSheetId="1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CSLL" localSheetId="5"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CSLL" localSheetId="4"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CSLL"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CUSTO_MO">'[13]$Preços'!$DN$36:$DS$190</definedName>
    <definedName name="custoc" localSheetId="3" hidden="1">#REF!</definedName>
    <definedName name="custoc" localSheetId="6" hidden="1">#REF!</definedName>
    <definedName name="custoc" localSheetId="7" hidden="1">#REF!</definedName>
    <definedName name="custoc" localSheetId="10" hidden="1">#REF!</definedName>
    <definedName name="custoc" localSheetId="11" hidden="1">#REF!</definedName>
    <definedName name="custoc" hidden="1">#REF!</definedName>
    <definedName name="cxz" localSheetId="3" hidden="1">{"'gráf jan00'!$A$1:$AK$41"}</definedName>
    <definedName name="cxz" localSheetId="6" hidden="1">{"'gráf jan00'!$A$1:$AK$41"}</definedName>
    <definedName name="cxz" localSheetId="7" hidden="1">{"'gráf jan00'!$A$1:$AK$41"}</definedName>
    <definedName name="cxz" localSheetId="10" hidden="1">{"'gráf jan00'!$A$1:$AK$41"}</definedName>
    <definedName name="cxz" localSheetId="11" hidden="1">{"'gráf jan00'!$A$1:$AK$41"}</definedName>
    <definedName name="cxz" localSheetId="5" hidden="1">{"'gráf jan00'!$A$1:$AK$41"}</definedName>
    <definedName name="cxz" localSheetId="4" hidden="1">{"'gráf jan00'!$A$1:$AK$41"}</definedName>
    <definedName name="cxz" hidden="1">{"'gráf jan00'!$A$1:$AK$41"}</definedName>
    <definedName name="d" localSheetId="3"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d" localSheetId="6"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d" localSheetId="7"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d" localSheetId="10"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d" localSheetId="11"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d" localSheetId="5"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d" localSheetId="4"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d"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dada" localSheetId="3"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dada" localSheetId="6"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dada" localSheetId="7"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dada" localSheetId="10"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dada" localSheetId="11"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dada" localSheetId="5"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dada" localSheetId="4"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dada"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dadaa" localSheetId="3"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dadaa" localSheetId="6"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dadaa" localSheetId="7"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dadaa" localSheetId="10"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dadaa" localSheetId="11"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dadaa" localSheetId="5"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dadaa" localSheetId="4"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dadaa"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dadadada" localSheetId="3"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dadadada" localSheetId="6"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dadadada" localSheetId="7"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dadadada" localSheetId="10"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dadadada" localSheetId="11"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dadadada" localSheetId="5"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dadadada" localSheetId="4"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dadadada"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dasd">#REF!</definedName>
    <definedName name="DATA_BASE">'[13]$Preços'!$B$34</definedName>
    <definedName name="david" localSheetId="3" hidden="1">{"'gráf jan00'!$A$1:$AK$41"}</definedName>
    <definedName name="david" localSheetId="6" hidden="1">{"'gráf jan00'!$A$1:$AK$41"}</definedName>
    <definedName name="david" localSheetId="7" hidden="1">{"'gráf jan00'!$A$1:$AK$41"}</definedName>
    <definedName name="david" localSheetId="10" hidden="1">{"'gráf jan00'!$A$1:$AK$41"}</definedName>
    <definedName name="david" localSheetId="11" hidden="1">{"'gráf jan00'!$A$1:$AK$41"}</definedName>
    <definedName name="david" localSheetId="5" hidden="1">{"'gráf jan00'!$A$1:$AK$41"}</definedName>
    <definedName name="david" localSheetId="4" hidden="1">{"'gráf jan00'!$A$1:$AK$41"}</definedName>
    <definedName name="david" hidden="1">{"'gráf jan00'!$A$1:$AK$41"}</definedName>
    <definedName name="david1" localSheetId="3" hidden="1">{"'gráf jan00'!$A$1:$AK$41"}</definedName>
    <definedName name="david1" localSheetId="6" hidden="1">{"'gráf jan00'!$A$1:$AK$41"}</definedName>
    <definedName name="david1" localSheetId="7" hidden="1">{"'gráf jan00'!$A$1:$AK$41"}</definedName>
    <definedName name="david1" localSheetId="10" hidden="1">{"'gráf jan00'!$A$1:$AK$41"}</definedName>
    <definedName name="david1" localSheetId="11" hidden="1">{"'gráf jan00'!$A$1:$AK$41"}</definedName>
    <definedName name="david1" localSheetId="5" hidden="1">{"'gráf jan00'!$A$1:$AK$41"}</definedName>
    <definedName name="david1" localSheetId="4" hidden="1">{"'gráf jan00'!$A$1:$AK$41"}</definedName>
    <definedName name="david1" hidden="1">{"'gráf jan00'!$A$1:$AK$41"}</definedName>
    <definedName name="dd" localSheetId="3" hidden="1">{#N/A,#N/A,FALSE,"ANEXO3 99 ERA";#N/A,#N/A,FALSE,"ANEXO3 99 UBÁ2";#N/A,#N/A,FALSE,"ANEXO3 99 DTU";#N/A,#N/A,FALSE,"ANEXO3 99 RDR";#N/A,#N/A,FALSE,"ANEXO3 99 UBÁ4";#N/A,#N/A,FALSE,"ANEXO3 99 UBÁ6"}</definedName>
    <definedName name="dd" localSheetId="6" hidden="1">{#N/A,#N/A,FALSE,"ANEXO3 99 ERA";#N/A,#N/A,FALSE,"ANEXO3 99 UBÁ2";#N/A,#N/A,FALSE,"ANEXO3 99 DTU";#N/A,#N/A,FALSE,"ANEXO3 99 RDR";#N/A,#N/A,FALSE,"ANEXO3 99 UBÁ4";#N/A,#N/A,FALSE,"ANEXO3 99 UBÁ6"}</definedName>
    <definedName name="dd" localSheetId="7" hidden="1">{#N/A,#N/A,FALSE,"ANEXO3 99 ERA";#N/A,#N/A,FALSE,"ANEXO3 99 UBÁ2";#N/A,#N/A,FALSE,"ANEXO3 99 DTU";#N/A,#N/A,FALSE,"ANEXO3 99 RDR";#N/A,#N/A,FALSE,"ANEXO3 99 UBÁ4";#N/A,#N/A,FALSE,"ANEXO3 99 UBÁ6"}</definedName>
    <definedName name="dd" localSheetId="10" hidden="1">{#N/A,#N/A,FALSE,"ANEXO3 99 ERA";#N/A,#N/A,FALSE,"ANEXO3 99 UBÁ2";#N/A,#N/A,FALSE,"ANEXO3 99 DTU";#N/A,#N/A,FALSE,"ANEXO3 99 RDR";#N/A,#N/A,FALSE,"ANEXO3 99 UBÁ4";#N/A,#N/A,FALSE,"ANEXO3 99 UBÁ6"}</definedName>
    <definedName name="dd" localSheetId="11" hidden="1">{#N/A,#N/A,FALSE,"ANEXO3 99 ERA";#N/A,#N/A,FALSE,"ANEXO3 99 UBÁ2";#N/A,#N/A,FALSE,"ANEXO3 99 DTU";#N/A,#N/A,FALSE,"ANEXO3 99 RDR";#N/A,#N/A,FALSE,"ANEXO3 99 UBÁ4";#N/A,#N/A,FALSE,"ANEXO3 99 UBÁ6"}</definedName>
    <definedName name="dd" localSheetId="5" hidden="1">{#N/A,#N/A,FALSE,"ANEXO3 99 ERA";#N/A,#N/A,FALSE,"ANEXO3 99 UBÁ2";#N/A,#N/A,FALSE,"ANEXO3 99 DTU";#N/A,#N/A,FALSE,"ANEXO3 99 RDR";#N/A,#N/A,FALSE,"ANEXO3 99 UBÁ4";#N/A,#N/A,FALSE,"ANEXO3 99 UBÁ6"}</definedName>
    <definedName name="dd" localSheetId="4" hidden="1">{#N/A,#N/A,FALSE,"ANEXO3 99 ERA";#N/A,#N/A,FALSE,"ANEXO3 99 UBÁ2";#N/A,#N/A,FALSE,"ANEXO3 99 DTU";#N/A,#N/A,FALSE,"ANEXO3 99 RDR";#N/A,#N/A,FALSE,"ANEXO3 99 UBÁ4";#N/A,#N/A,FALSE,"ANEXO3 99 UBÁ6"}</definedName>
    <definedName name="DD">#REF!</definedName>
    <definedName name="ddd" localSheetId="3" hidden="1">{#N/A,#N/A,FALSE,"General";#N/A,#N/A,FALSE,"DMU";#N/A,#N/A,FALSE,"Breakdown";#N/A,#N/A,FALSE,"Traction";#N/A,#N/A,FALSE,"Bogie &amp; Carbody";#N/A,#N/A,FALSE,"Auxiliaries";#N/A,#N/A,FALSE,"Braking";#N/A,#N/A,FALSE,"Electric";#N/A,#N/A,FALSE,"Comfort";#N/A,#N/A,FALSE,"Interiors";#N/A,#N/A,FALSE,"Exterior"}</definedName>
    <definedName name="ddd" localSheetId="6" hidden="1">{#N/A,#N/A,FALSE,"General";#N/A,#N/A,FALSE,"DMU";#N/A,#N/A,FALSE,"Breakdown";#N/A,#N/A,FALSE,"Traction";#N/A,#N/A,FALSE,"Bogie &amp; Carbody";#N/A,#N/A,FALSE,"Auxiliaries";#N/A,#N/A,FALSE,"Braking";#N/A,#N/A,FALSE,"Electric";#N/A,#N/A,FALSE,"Comfort";#N/A,#N/A,FALSE,"Interiors";#N/A,#N/A,FALSE,"Exterior"}</definedName>
    <definedName name="ddd" localSheetId="7" hidden="1">{#N/A,#N/A,FALSE,"General";#N/A,#N/A,FALSE,"DMU";#N/A,#N/A,FALSE,"Breakdown";#N/A,#N/A,FALSE,"Traction";#N/A,#N/A,FALSE,"Bogie &amp; Carbody";#N/A,#N/A,FALSE,"Auxiliaries";#N/A,#N/A,FALSE,"Braking";#N/A,#N/A,FALSE,"Electric";#N/A,#N/A,FALSE,"Comfort";#N/A,#N/A,FALSE,"Interiors";#N/A,#N/A,FALSE,"Exterior"}</definedName>
    <definedName name="ddd" localSheetId="10" hidden="1">{#N/A,#N/A,FALSE,"General";#N/A,#N/A,FALSE,"DMU";#N/A,#N/A,FALSE,"Breakdown";#N/A,#N/A,FALSE,"Traction";#N/A,#N/A,FALSE,"Bogie &amp; Carbody";#N/A,#N/A,FALSE,"Auxiliaries";#N/A,#N/A,FALSE,"Braking";#N/A,#N/A,FALSE,"Electric";#N/A,#N/A,FALSE,"Comfort";#N/A,#N/A,FALSE,"Interiors";#N/A,#N/A,FALSE,"Exterior"}</definedName>
    <definedName name="ddd" localSheetId="11" hidden="1">{#N/A,#N/A,FALSE,"General";#N/A,#N/A,FALSE,"DMU";#N/A,#N/A,FALSE,"Breakdown";#N/A,#N/A,FALSE,"Traction";#N/A,#N/A,FALSE,"Bogie &amp; Carbody";#N/A,#N/A,FALSE,"Auxiliaries";#N/A,#N/A,FALSE,"Braking";#N/A,#N/A,FALSE,"Electric";#N/A,#N/A,FALSE,"Comfort";#N/A,#N/A,FALSE,"Interiors";#N/A,#N/A,FALSE,"Exterior"}</definedName>
    <definedName name="ddd" localSheetId="5" hidden="1">{#N/A,#N/A,FALSE,"General";#N/A,#N/A,FALSE,"DMU";#N/A,#N/A,FALSE,"Breakdown";#N/A,#N/A,FALSE,"Traction";#N/A,#N/A,FALSE,"Bogie &amp; Carbody";#N/A,#N/A,FALSE,"Auxiliaries";#N/A,#N/A,FALSE,"Braking";#N/A,#N/A,FALSE,"Electric";#N/A,#N/A,FALSE,"Comfort";#N/A,#N/A,FALSE,"Interiors";#N/A,#N/A,FALSE,"Exterior"}</definedName>
    <definedName name="ddd" localSheetId="4" hidden="1">{#N/A,#N/A,FALSE,"General";#N/A,#N/A,FALSE,"DMU";#N/A,#N/A,FALSE,"Breakdown";#N/A,#N/A,FALSE,"Traction";#N/A,#N/A,FALSE,"Bogie &amp; Carbody";#N/A,#N/A,FALSE,"Auxiliaries";#N/A,#N/A,FALSE,"Braking";#N/A,#N/A,FALSE,"Electric";#N/A,#N/A,FALSE,"Comfort";#N/A,#N/A,FALSE,"Interiors";#N/A,#N/A,FALSE,"Exterior"}</definedName>
    <definedName name="ddd" hidden="1">{#N/A,#N/A,FALSE,"General";#N/A,#N/A,FALSE,"DMU";#N/A,#N/A,FALSE,"Breakdown";#N/A,#N/A,FALSE,"Traction";#N/A,#N/A,FALSE,"Bogie &amp; Carbody";#N/A,#N/A,FALSE,"Auxiliaries";#N/A,#N/A,FALSE,"Braking";#N/A,#N/A,FALSE,"Electric";#N/A,#N/A,FALSE,"Comfort";#N/A,#N/A,FALSE,"Interiors";#N/A,#N/A,FALSE,"Exterior"}</definedName>
    <definedName name="dddd" localSheetId="3" hidden="1">{#N/A,#N/A,FALSE,"PCOL"}</definedName>
    <definedName name="dddd" localSheetId="6" hidden="1">{#N/A,#N/A,FALSE,"PCOL"}</definedName>
    <definedName name="dddd" localSheetId="7" hidden="1">{#N/A,#N/A,FALSE,"PCOL"}</definedName>
    <definedName name="dddd" localSheetId="10" hidden="1">{#N/A,#N/A,FALSE,"PCOL"}</definedName>
    <definedName name="dddd" localSheetId="11" hidden="1">{#N/A,#N/A,FALSE,"PCOL"}</definedName>
    <definedName name="dddd" localSheetId="5" hidden="1">{#N/A,#N/A,FALSE,"PCOL"}</definedName>
    <definedName name="dddd" localSheetId="4" hidden="1">{#N/A,#N/A,FALSE,"PCOL"}</definedName>
    <definedName name="dddd" hidden="1">{#N/A,#N/A,FALSE,"PCOL"}</definedName>
    <definedName name="ddddd" localSheetId="3"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ddddd" localSheetId="6"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ddddd" localSheetId="7"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ddddd" localSheetId="10"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ddddd" localSheetId="11"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ddddd" localSheetId="5"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ddddd" localSheetId="4"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ddddd"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DDDDDDDDDDDDDDDDD" localSheetId="3"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DDDDDDDDDDDDDDDDD" localSheetId="6"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DDDDDDDDDDDDDDDDD" localSheetId="7"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DDDDDDDDDDDDDDDDD" localSheetId="10"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DDDDDDDDDDDDDDDDD" localSheetId="11"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DDDDDDDDDDDDDDDDD" localSheetId="5"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DDDDDDDDDDDDDDDDD" localSheetId="4"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DDDDDDDDDDDDDDDDD"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DDEEERE" localSheetId="3" hidden="1">{"'gráf jan00'!$A$1:$AK$41"}</definedName>
    <definedName name="DDEEERE" localSheetId="6" hidden="1">{"'gráf jan00'!$A$1:$AK$41"}</definedName>
    <definedName name="DDEEERE" localSheetId="7" hidden="1">{"'gráf jan00'!$A$1:$AK$41"}</definedName>
    <definedName name="DDEEERE" localSheetId="10" hidden="1">{"'gráf jan00'!$A$1:$AK$41"}</definedName>
    <definedName name="DDEEERE" localSheetId="11" hidden="1">{"'gráf jan00'!$A$1:$AK$41"}</definedName>
    <definedName name="DDEEERE" localSheetId="5" hidden="1">{"'gráf jan00'!$A$1:$AK$41"}</definedName>
    <definedName name="DDEEERE" localSheetId="4" hidden="1">{"'gráf jan00'!$A$1:$AK$41"}</definedName>
    <definedName name="DDEEERE" hidden="1">{"'gráf jan00'!$A$1:$AK$41"}</definedName>
    <definedName name="DEAM" localSheetId="3" hidden="1">{"'CptDifn'!$AA$32:$AG$32"}</definedName>
    <definedName name="DEAM" localSheetId="6" hidden="1">{"'CptDifn'!$AA$32:$AG$32"}</definedName>
    <definedName name="DEAM" localSheetId="7" hidden="1">{"'CptDifn'!$AA$32:$AG$32"}</definedName>
    <definedName name="DEAM" localSheetId="10" hidden="1">{"'CptDifn'!$AA$32:$AG$32"}</definedName>
    <definedName name="DEAM" localSheetId="11" hidden="1">{"'CptDifn'!$AA$32:$AG$32"}</definedName>
    <definedName name="DEAM" localSheetId="5" hidden="1">{"'CptDifn'!$AA$32:$AG$32"}</definedName>
    <definedName name="DEAM" localSheetId="4" hidden="1">{"'CptDifn'!$AA$32:$AG$32"}</definedName>
    <definedName name="DEAM" hidden="1">{"'CptDifn'!$AA$32:$AG$32"}</definedName>
    <definedName name="DEAS" localSheetId="3" hidden="1">{"'CptDifn'!$AA$32:$AG$32"}</definedName>
    <definedName name="DEAS" localSheetId="6" hidden="1">{"'CptDifn'!$AA$32:$AG$32"}</definedName>
    <definedName name="DEAS" localSheetId="7" hidden="1">{"'CptDifn'!$AA$32:$AG$32"}</definedName>
    <definedName name="DEAS" localSheetId="10" hidden="1">{"'CptDifn'!$AA$32:$AG$32"}</definedName>
    <definedName name="DEAS" localSheetId="11" hidden="1">{"'CptDifn'!$AA$32:$AG$32"}</definedName>
    <definedName name="DEAS" localSheetId="5" hidden="1">{"'CptDifn'!$AA$32:$AG$32"}</definedName>
    <definedName name="DEAS" localSheetId="4" hidden="1">{"'CptDifn'!$AA$32:$AG$32"}</definedName>
    <definedName name="DEAS" hidden="1">{"'CptDifn'!$AA$32:$AG$32"}</definedName>
    <definedName name="DECG" localSheetId="3" hidden="1">{"'CptDifn'!$AA$32:$AG$32"}</definedName>
    <definedName name="DECG" localSheetId="6" hidden="1">{"'CptDifn'!$AA$32:$AG$32"}</definedName>
    <definedName name="DECG" localSheetId="7" hidden="1">{"'CptDifn'!$AA$32:$AG$32"}</definedName>
    <definedName name="DECG" localSheetId="10" hidden="1">{"'CptDifn'!$AA$32:$AG$32"}</definedName>
    <definedName name="DECG" localSheetId="11" hidden="1">{"'CptDifn'!$AA$32:$AG$32"}</definedName>
    <definedName name="DECG" localSheetId="5" hidden="1">{"'CptDifn'!$AA$32:$AG$32"}</definedName>
    <definedName name="DECG" localSheetId="4" hidden="1">{"'CptDifn'!$AA$32:$AG$32"}</definedName>
    <definedName name="DECG" hidden="1">{"'CptDifn'!$AA$32:$AG$32"}</definedName>
    <definedName name="defwe" localSheetId="3" hidden="1">{"'Quadro'!$A$4:$BG$78"}</definedName>
    <definedName name="defwe" localSheetId="6" hidden="1">{"'Quadro'!$A$4:$BG$78"}</definedName>
    <definedName name="defwe" localSheetId="7" hidden="1">{"'Quadro'!$A$4:$BG$78"}</definedName>
    <definedName name="defwe" localSheetId="10" hidden="1">{"'Quadro'!$A$4:$BG$78"}</definedName>
    <definedName name="defwe" localSheetId="11" hidden="1">{"'Quadro'!$A$4:$BG$78"}</definedName>
    <definedName name="defwe" localSheetId="5" hidden="1">{"'Quadro'!$A$4:$BG$78"}</definedName>
    <definedName name="defwe" localSheetId="4" hidden="1">{"'Quadro'!$A$4:$BG$78"}</definedName>
    <definedName name="defwe" hidden="1">{"'Quadro'!$A$4:$BG$78"}</definedName>
    <definedName name="DEGL" localSheetId="3" hidden="1">{"'CptDifn'!$AA$32:$AG$32"}</definedName>
    <definedName name="DEGL" localSheetId="6" hidden="1">{"'CptDifn'!$AA$32:$AG$32"}</definedName>
    <definedName name="DEGL" localSheetId="7" hidden="1">{"'CptDifn'!$AA$32:$AG$32"}</definedName>
    <definedName name="DEGL" localSheetId="10" hidden="1">{"'CptDifn'!$AA$32:$AG$32"}</definedName>
    <definedName name="DEGL" localSheetId="11" hidden="1">{"'CptDifn'!$AA$32:$AG$32"}</definedName>
    <definedName name="DEGL" localSheetId="5" hidden="1">{"'CptDifn'!$AA$32:$AG$32"}</definedName>
    <definedName name="DEGL" localSheetId="4" hidden="1">{"'CptDifn'!$AA$32:$AG$32"}</definedName>
    <definedName name="DEGL" hidden="1">{"'CptDifn'!$AA$32:$AG$32"}</definedName>
    <definedName name="depreciaciones" localSheetId="3"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depreciaciones" localSheetId="6"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depreciaciones" localSheetId="7"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depreciaciones" localSheetId="10"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depreciaciones" localSheetId="11"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depreciaciones" localSheetId="5"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depreciaciones" localSheetId="4"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depreciaciones"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DERF" localSheetId="3" hidden="1">{#N/A,#N/A,FALSE,"310.1";#N/A,#N/A,FALSE,"321.1";#N/A,#N/A,FALSE,"320.3";#N/A,#N/A,FALSE,"330.1"}</definedName>
    <definedName name="DERF" localSheetId="6" hidden="1">{#N/A,#N/A,FALSE,"310.1";#N/A,#N/A,FALSE,"321.1";#N/A,#N/A,FALSE,"320.3";#N/A,#N/A,FALSE,"330.1"}</definedName>
    <definedName name="DERF" localSheetId="7" hidden="1">{#N/A,#N/A,FALSE,"310.1";#N/A,#N/A,FALSE,"321.1";#N/A,#N/A,FALSE,"320.3";#N/A,#N/A,FALSE,"330.1"}</definedName>
    <definedName name="DERF" localSheetId="10" hidden="1">{#N/A,#N/A,FALSE,"310.1";#N/A,#N/A,FALSE,"321.1";#N/A,#N/A,FALSE,"320.3";#N/A,#N/A,FALSE,"330.1"}</definedName>
    <definedName name="DERF" localSheetId="11" hidden="1">{#N/A,#N/A,FALSE,"310.1";#N/A,#N/A,FALSE,"321.1";#N/A,#N/A,FALSE,"320.3";#N/A,#N/A,FALSE,"330.1"}</definedName>
    <definedName name="DERF" localSheetId="5" hidden="1">{#N/A,#N/A,FALSE,"310.1";#N/A,#N/A,FALSE,"321.1";#N/A,#N/A,FALSE,"320.3";#N/A,#N/A,FALSE,"330.1"}</definedName>
    <definedName name="DERF" localSheetId="4" hidden="1">{#N/A,#N/A,FALSE,"310.1";#N/A,#N/A,FALSE,"321.1";#N/A,#N/A,FALSE,"320.3";#N/A,#N/A,FALSE,"330.1"}</definedName>
    <definedName name="DERF" hidden="1">{#N/A,#N/A,FALSE,"310.1";#N/A,#N/A,FALSE,"321.1";#N/A,#N/A,FALSE,"320.3";#N/A,#N/A,FALSE,"330.1"}</definedName>
    <definedName name="Descidas_de_Água" localSheetId="3">#REF!</definedName>
    <definedName name="Descidas_de_Água" localSheetId="6">#REF!</definedName>
    <definedName name="Descidas_de_Água" localSheetId="7">#REF!</definedName>
    <definedName name="Descidas_de_Água" localSheetId="10">#REF!</definedName>
    <definedName name="Descidas_de_Água" localSheetId="11">#REF!</definedName>
    <definedName name="Descidas_de_Água" localSheetId="15">#REF!</definedName>
    <definedName name="Descidas_de_Água">#REF!</definedName>
    <definedName name="Descidas_de_Água_2" localSheetId="3">#REF!</definedName>
    <definedName name="Descidas_de_Água_2" localSheetId="6">#REF!</definedName>
    <definedName name="Descidas_de_Água_2" localSheetId="7">#REF!</definedName>
    <definedName name="Descidas_de_Água_2" localSheetId="10">#REF!</definedName>
    <definedName name="Descidas_de_Água_2">#REF!</definedName>
    <definedName name="DESCOR" localSheetId="3" hidden="1">{"'gráf jan00'!$A$1:$AK$41"}</definedName>
    <definedName name="DESCOR" localSheetId="6" hidden="1">{"'gráf jan00'!$A$1:$AK$41"}</definedName>
    <definedName name="DESCOR" localSheetId="7" hidden="1">{"'gráf jan00'!$A$1:$AK$41"}</definedName>
    <definedName name="DESCOR" localSheetId="10" hidden="1">{"'gráf jan00'!$A$1:$AK$41"}</definedName>
    <definedName name="DESCOR" localSheetId="11" hidden="1">{"'gráf jan00'!$A$1:$AK$41"}</definedName>
    <definedName name="DESCOR" localSheetId="5" hidden="1">{"'gráf jan00'!$A$1:$AK$41"}</definedName>
    <definedName name="DESCOR" localSheetId="4" hidden="1">{"'gráf jan00'!$A$1:$AK$41"}</definedName>
    <definedName name="DESCOR" hidden="1">{"'gráf jan00'!$A$1:$AK$41"}</definedName>
    <definedName name="descrisão" localSheetId="3" hidden="1">{"'gráf jan00'!$A$1:$AK$41"}</definedName>
    <definedName name="descrisão" localSheetId="6" hidden="1">{"'gráf jan00'!$A$1:$AK$41"}</definedName>
    <definedName name="descrisão" localSheetId="7" hidden="1">{"'gráf jan00'!$A$1:$AK$41"}</definedName>
    <definedName name="descrisão" localSheetId="10" hidden="1">{"'gráf jan00'!$A$1:$AK$41"}</definedName>
    <definedName name="descrisão" localSheetId="11" hidden="1">{"'gráf jan00'!$A$1:$AK$41"}</definedName>
    <definedName name="descrisão" localSheetId="5" hidden="1">{"'gráf jan00'!$A$1:$AK$41"}</definedName>
    <definedName name="descrisão" localSheetId="4" hidden="1">{"'gráf jan00'!$A$1:$AK$41"}</definedName>
    <definedName name="descrisão" hidden="1">{"'gráf jan00'!$A$1:$AK$41"}</definedName>
    <definedName name="Detalhe" localSheetId="3" hidden="1">{"'Resumo'!$A$4:$N$60"}</definedName>
    <definedName name="Detalhe" localSheetId="6" hidden="1">{"'Resumo'!$A$4:$N$60"}</definedName>
    <definedName name="Detalhe" localSheetId="7" hidden="1">{"'Resumo'!$A$4:$N$60"}</definedName>
    <definedName name="Detalhe" localSheetId="10" hidden="1">{"'Resumo'!$A$4:$N$60"}</definedName>
    <definedName name="Detalhe" localSheetId="11" hidden="1">{"'Resumo'!$A$4:$N$60"}</definedName>
    <definedName name="Detalhe" localSheetId="5" hidden="1">{"'Resumo'!$A$4:$N$60"}</definedName>
    <definedName name="Detalhe" localSheetId="4" hidden="1">{"'Resumo'!$A$4:$N$60"}</definedName>
    <definedName name="Detalhe" hidden="1">{"'Resumo'!$A$4:$N$60"}</definedName>
    <definedName name="deuda" localSheetId="3"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deuda" localSheetId="6"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deuda" localSheetId="7"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deuda" localSheetId="10"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deuda" localSheetId="11"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deuda" localSheetId="5"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deuda" localSheetId="4"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deuda"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deudasmes" localSheetId="3"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deudasmes" localSheetId="6"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deudasmes" localSheetId="7"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deudasmes" localSheetId="10"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deudasmes" localSheetId="11"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deudasmes" localSheetId="5"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deudasmes" localSheetId="4"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deudasmes"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dfadsfsadf" localSheetId="3" hidden="1">{"'gráf jan00'!$A$1:$AK$41"}</definedName>
    <definedName name="dfadsfsadf" localSheetId="6" hidden="1">{"'gráf jan00'!$A$1:$AK$41"}</definedName>
    <definedName name="dfadsfsadf" localSheetId="7" hidden="1">{"'gráf jan00'!$A$1:$AK$41"}</definedName>
    <definedName name="dfadsfsadf" localSheetId="10" hidden="1">{"'gráf jan00'!$A$1:$AK$41"}</definedName>
    <definedName name="dfadsfsadf" localSheetId="11" hidden="1">{"'gráf jan00'!$A$1:$AK$41"}</definedName>
    <definedName name="dfadsfsadf" localSheetId="5" hidden="1">{"'gráf jan00'!$A$1:$AK$41"}</definedName>
    <definedName name="dfadsfsadf" localSheetId="4" hidden="1">{"'gráf jan00'!$A$1:$AK$41"}</definedName>
    <definedName name="dfadsfsadf" hidden="1">{"'gráf jan00'!$A$1:$AK$41"}</definedName>
    <definedName name="dfd" localSheetId="3" hidden="1">{"'gráf jan00'!$A$1:$AK$41"}</definedName>
    <definedName name="dfd" localSheetId="6" hidden="1">{"'gráf jan00'!$A$1:$AK$41"}</definedName>
    <definedName name="dfd" localSheetId="7" hidden="1">{"'gráf jan00'!$A$1:$AK$41"}</definedName>
    <definedName name="dfd" localSheetId="10" hidden="1">{"'gráf jan00'!$A$1:$AK$41"}</definedName>
    <definedName name="dfd" localSheetId="11" hidden="1">{"'gráf jan00'!$A$1:$AK$41"}</definedName>
    <definedName name="dfd" localSheetId="5" hidden="1">{"'gráf jan00'!$A$1:$AK$41"}</definedName>
    <definedName name="dfd" localSheetId="4" hidden="1">{"'gráf jan00'!$A$1:$AK$41"}</definedName>
    <definedName name="dfd" hidden="1">{"'gráf jan00'!$A$1:$AK$41"}</definedName>
    <definedName name="dfdf" localSheetId="3"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dfdf" localSheetId="6"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dfdf" localSheetId="7"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dfdf" localSheetId="10"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dfdf" localSheetId="11"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dfdf" localSheetId="5"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dfdf" localSheetId="4"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dfdf"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DFDFDF" localSheetId="3" hidden="1">{"'gráf jan00'!$A$1:$AK$41"}</definedName>
    <definedName name="DFDFDF" localSheetId="6" hidden="1">{"'gráf jan00'!$A$1:$AK$41"}</definedName>
    <definedName name="DFDFDF" localSheetId="7" hidden="1">{"'gráf jan00'!$A$1:$AK$41"}</definedName>
    <definedName name="DFDFDF" localSheetId="10" hidden="1">{"'gráf jan00'!$A$1:$AK$41"}</definedName>
    <definedName name="DFDFDF" localSheetId="11" hidden="1">{"'gráf jan00'!$A$1:$AK$41"}</definedName>
    <definedName name="DFDFDF" localSheetId="5" hidden="1">{"'gráf jan00'!$A$1:$AK$41"}</definedName>
    <definedName name="DFDFDF" localSheetId="4" hidden="1">{"'gráf jan00'!$A$1:$AK$41"}</definedName>
    <definedName name="DFDFDF" hidden="1">{"'gráf jan00'!$A$1:$AK$41"}</definedName>
    <definedName name="dfdfdfd" hidden="1">#N/A</definedName>
    <definedName name="dffasf" localSheetId="3" hidden="1">{#N/A,#N/A,TRUE,"indice";#N/A,#N/A,TRUE,"indicadores";#N/A,#N/A,TRUE,"comentarios"}</definedName>
    <definedName name="dffasf" localSheetId="6" hidden="1">{#N/A,#N/A,TRUE,"indice";#N/A,#N/A,TRUE,"indicadores";#N/A,#N/A,TRUE,"comentarios"}</definedName>
    <definedName name="dffasf" localSheetId="7" hidden="1">{#N/A,#N/A,TRUE,"indice";#N/A,#N/A,TRUE,"indicadores";#N/A,#N/A,TRUE,"comentarios"}</definedName>
    <definedName name="dffasf" localSheetId="10" hidden="1">{#N/A,#N/A,TRUE,"indice";#N/A,#N/A,TRUE,"indicadores";#N/A,#N/A,TRUE,"comentarios"}</definedName>
    <definedName name="dffasf" localSheetId="11" hidden="1">{#N/A,#N/A,TRUE,"indice";#N/A,#N/A,TRUE,"indicadores";#N/A,#N/A,TRUE,"comentarios"}</definedName>
    <definedName name="dffasf" localSheetId="5" hidden="1">{#N/A,#N/A,TRUE,"indice";#N/A,#N/A,TRUE,"indicadores";#N/A,#N/A,TRUE,"comentarios"}</definedName>
    <definedName name="dffasf" localSheetId="4" hidden="1">{#N/A,#N/A,TRUE,"indice";#N/A,#N/A,TRUE,"indicadores";#N/A,#N/A,TRUE,"comentarios"}</definedName>
    <definedName name="dffasf" hidden="1">{#N/A,#N/A,TRUE,"indice";#N/A,#N/A,TRUE,"indicadores";#N/A,#N/A,TRUE,"comentarios"}</definedName>
    <definedName name="DFGADET" localSheetId="3" hidden="1">{"'gráf jan00'!$A$1:$AK$41"}</definedName>
    <definedName name="DFGADET" localSheetId="6" hidden="1">{"'gráf jan00'!$A$1:$AK$41"}</definedName>
    <definedName name="DFGADET" localSheetId="7" hidden="1">{"'gráf jan00'!$A$1:$AK$41"}</definedName>
    <definedName name="DFGADET" localSheetId="10" hidden="1">{"'gráf jan00'!$A$1:$AK$41"}</definedName>
    <definedName name="DFGADET" localSheetId="11" hidden="1">{"'gráf jan00'!$A$1:$AK$41"}</definedName>
    <definedName name="DFGADET" localSheetId="5" hidden="1">{"'gráf jan00'!$A$1:$AK$41"}</definedName>
    <definedName name="DFGADET" localSheetId="4" hidden="1">{"'gráf jan00'!$A$1:$AK$41"}</definedName>
    <definedName name="DFGADET" hidden="1">{"'gráf jan00'!$A$1:$AK$41"}</definedName>
    <definedName name="DFGDFGD" localSheetId="3" hidden="1">{"'Quadro'!$A$4:$BG$78"}</definedName>
    <definedName name="DFGDFGD" localSheetId="6" hidden="1">{"'Quadro'!$A$4:$BG$78"}</definedName>
    <definedName name="DFGDFGD" localSheetId="7" hidden="1">{"'Quadro'!$A$4:$BG$78"}</definedName>
    <definedName name="DFGDFGD" localSheetId="10" hidden="1">{"'Quadro'!$A$4:$BG$78"}</definedName>
    <definedName name="DFGDFGD" localSheetId="11" hidden="1">{"'Quadro'!$A$4:$BG$78"}</definedName>
    <definedName name="DFGDFGD" localSheetId="5" hidden="1">{"'Quadro'!$A$4:$BG$78"}</definedName>
    <definedName name="DFGDFGD" localSheetId="4" hidden="1">{"'Quadro'!$A$4:$BG$78"}</definedName>
    <definedName name="DFGDFGD" hidden="1">{"'Quadro'!$A$4:$BG$78"}</definedName>
    <definedName name="dfhgdf" localSheetId="3" hidden="1">{#N/A,#N/A,TRUE,"indice";#N/A,#N/A,TRUE,"indicadores";#N/A,#N/A,TRUE,"comentarios"}</definedName>
    <definedName name="dfhgdf" localSheetId="6" hidden="1">{#N/A,#N/A,TRUE,"indice";#N/A,#N/A,TRUE,"indicadores";#N/A,#N/A,TRUE,"comentarios"}</definedName>
    <definedName name="dfhgdf" localSheetId="7" hidden="1">{#N/A,#N/A,TRUE,"indice";#N/A,#N/A,TRUE,"indicadores";#N/A,#N/A,TRUE,"comentarios"}</definedName>
    <definedName name="dfhgdf" localSheetId="10" hidden="1">{#N/A,#N/A,TRUE,"indice";#N/A,#N/A,TRUE,"indicadores";#N/A,#N/A,TRUE,"comentarios"}</definedName>
    <definedName name="dfhgdf" localSheetId="11" hidden="1">{#N/A,#N/A,TRUE,"indice";#N/A,#N/A,TRUE,"indicadores";#N/A,#N/A,TRUE,"comentarios"}</definedName>
    <definedName name="dfhgdf" localSheetId="5" hidden="1">{#N/A,#N/A,TRUE,"indice";#N/A,#N/A,TRUE,"indicadores";#N/A,#N/A,TRUE,"comentarios"}</definedName>
    <definedName name="dfhgdf" localSheetId="4" hidden="1">{#N/A,#N/A,TRUE,"indice";#N/A,#N/A,TRUE,"indicadores";#N/A,#N/A,TRUE,"comentarios"}</definedName>
    <definedName name="dfhgdf" hidden="1">{#N/A,#N/A,TRUE,"indice";#N/A,#N/A,TRUE,"indicadores";#N/A,#N/A,TRUE,"comentarios"}</definedName>
    <definedName name="dfuil" localSheetId="3" hidden="1">{"'RR'!$A$2:$E$81"}</definedName>
    <definedName name="dfuil" localSheetId="6" hidden="1">{"'RR'!$A$2:$E$81"}</definedName>
    <definedName name="dfuil" localSheetId="7" hidden="1">{"'RR'!$A$2:$E$81"}</definedName>
    <definedName name="dfuil" localSheetId="10" hidden="1">{"'RR'!$A$2:$E$81"}</definedName>
    <definedName name="dfuil" localSheetId="11" hidden="1">{"'RR'!$A$2:$E$81"}</definedName>
    <definedName name="dfuil" localSheetId="5" hidden="1">{"'RR'!$A$2:$E$81"}</definedName>
    <definedName name="dfuil" localSheetId="4" hidden="1">{"'RR'!$A$2:$E$81"}</definedName>
    <definedName name="dfuil" hidden="1">{"'RR'!$A$2:$E$81"}</definedName>
    <definedName name="dias">[16]PreAtemporais!$I$11</definedName>
    <definedName name="DILO_Ferrovia" localSheetId="3" hidden="1">{"'Quadro'!$A$4:$BG$78"}</definedName>
    <definedName name="DILO_Ferrovia" localSheetId="6" hidden="1">{"'Quadro'!$A$4:$BG$78"}</definedName>
    <definedName name="DILO_Ferrovia" localSheetId="7" hidden="1">{"'Quadro'!$A$4:$BG$78"}</definedName>
    <definedName name="DILO_Ferrovia" localSheetId="10" hidden="1">{"'Quadro'!$A$4:$BG$78"}</definedName>
    <definedName name="DILO_Ferrovia" localSheetId="11" hidden="1">{"'Quadro'!$A$4:$BG$78"}</definedName>
    <definedName name="DILO_Ferrovia" localSheetId="5" hidden="1">{"'Quadro'!$A$4:$BG$78"}</definedName>
    <definedName name="DILO_Ferrovia" localSheetId="4" hidden="1">{"'Quadro'!$A$4:$BG$78"}</definedName>
    <definedName name="DILO_Ferrovia" hidden="1">{"'Quadro'!$A$4:$BG$78"}</definedName>
    <definedName name="disp1" localSheetId="3" hidden="1">{"'RR'!$A$2:$E$81"}</definedName>
    <definedName name="disp1" localSheetId="6" hidden="1">{"'RR'!$A$2:$E$81"}</definedName>
    <definedName name="disp1" localSheetId="7" hidden="1">{"'RR'!$A$2:$E$81"}</definedName>
    <definedName name="disp1" localSheetId="10" hidden="1">{"'RR'!$A$2:$E$81"}</definedName>
    <definedName name="disp1" localSheetId="11" hidden="1">{"'RR'!$A$2:$E$81"}</definedName>
    <definedName name="disp1" localSheetId="5" hidden="1">{"'RR'!$A$2:$E$81"}</definedName>
    <definedName name="disp1" localSheetId="4" hidden="1">{"'RR'!$A$2:$E$81"}</definedName>
    <definedName name="disp1" hidden="1">{"'RR'!$A$2:$E$81"}</definedName>
    <definedName name="Displocopaul1" localSheetId="3" hidden="1">{"'gráf jan00'!$A$1:$AK$41"}</definedName>
    <definedName name="Displocopaul1" localSheetId="6" hidden="1">{"'gráf jan00'!$A$1:$AK$41"}</definedName>
    <definedName name="Displocopaul1" localSheetId="7" hidden="1">{"'gráf jan00'!$A$1:$AK$41"}</definedName>
    <definedName name="Displocopaul1" localSheetId="10" hidden="1">{"'gráf jan00'!$A$1:$AK$41"}</definedName>
    <definedName name="Displocopaul1" localSheetId="11" hidden="1">{"'gráf jan00'!$A$1:$AK$41"}</definedName>
    <definedName name="Displocopaul1" localSheetId="5" hidden="1">{"'gráf jan00'!$A$1:$AK$41"}</definedName>
    <definedName name="Displocopaul1" localSheetId="4" hidden="1">{"'gráf jan00'!$A$1:$AK$41"}</definedName>
    <definedName name="Displocopaul1" hidden="1">{"'gráf jan00'!$A$1:$AK$41"}</definedName>
    <definedName name="disppaul" localSheetId="3" hidden="1">{"'gráf jan00'!$A$1:$AK$41"}</definedName>
    <definedName name="disppaul" localSheetId="6" hidden="1">{"'gráf jan00'!$A$1:$AK$41"}</definedName>
    <definedName name="disppaul" localSheetId="7" hidden="1">{"'gráf jan00'!$A$1:$AK$41"}</definedName>
    <definedName name="disppaul" localSheetId="10" hidden="1">{"'gráf jan00'!$A$1:$AK$41"}</definedName>
    <definedName name="disppaul" localSheetId="11" hidden="1">{"'gráf jan00'!$A$1:$AK$41"}</definedName>
    <definedName name="disppaul" localSheetId="5" hidden="1">{"'gráf jan00'!$A$1:$AK$41"}</definedName>
    <definedName name="disppaul" localSheetId="4" hidden="1">{"'gráf jan00'!$A$1:$AK$41"}</definedName>
    <definedName name="disppaul" hidden="1">{"'gráf jan00'!$A$1:$AK$41"}</definedName>
    <definedName name="Disppaul1" localSheetId="3" hidden="1">{"'gráf jan00'!$A$1:$AK$41"}</definedName>
    <definedName name="Disppaul1" localSheetId="6" hidden="1">{"'gráf jan00'!$A$1:$AK$41"}</definedName>
    <definedName name="Disppaul1" localSheetId="7" hidden="1">{"'gráf jan00'!$A$1:$AK$41"}</definedName>
    <definedName name="Disppaul1" localSheetId="10" hidden="1">{"'gráf jan00'!$A$1:$AK$41"}</definedName>
    <definedName name="Disppaul1" localSheetId="11" hidden="1">{"'gráf jan00'!$A$1:$AK$41"}</definedName>
    <definedName name="Disppaul1" localSheetId="5" hidden="1">{"'gráf jan00'!$A$1:$AK$41"}</definedName>
    <definedName name="Disppaul1" localSheetId="4" hidden="1">{"'gráf jan00'!$A$1:$AK$41"}</definedName>
    <definedName name="Disppaul1" hidden="1">{"'gráf jan00'!$A$1:$AK$41"}</definedName>
    <definedName name="disppaul10" localSheetId="3" hidden="1">{"'gráf jan00'!$A$1:$AK$41"}</definedName>
    <definedName name="disppaul10" localSheetId="6" hidden="1">{"'gráf jan00'!$A$1:$AK$41"}</definedName>
    <definedName name="disppaul10" localSheetId="7" hidden="1">{"'gráf jan00'!$A$1:$AK$41"}</definedName>
    <definedName name="disppaul10" localSheetId="10" hidden="1">{"'gráf jan00'!$A$1:$AK$41"}</definedName>
    <definedName name="disppaul10" localSheetId="11" hidden="1">{"'gráf jan00'!$A$1:$AK$41"}</definedName>
    <definedName name="disppaul10" localSheetId="5" hidden="1">{"'gráf jan00'!$A$1:$AK$41"}</definedName>
    <definedName name="disppaul10" localSheetId="4" hidden="1">{"'gráf jan00'!$A$1:$AK$41"}</definedName>
    <definedName name="disppaul10" hidden="1">{"'gráf jan00'!$A$1:$AK$41"}</definedName>
    <definedName name="disppaul100" localSheetId="3" hidden="1">{"'gráf jan00'!$A$1:$AK$41"}</definedName>
    <definedName name="disppaul100" localSheetId="6" hidden="1">{"'gráf jan00'!$A$1:$AK$41"}</definedName>
    <definedName name="disppaul100" localSheetId="7" hidden="1">{"'gráf jan00'!$A$1:$AK$41"}</definedName>
    <definedName name="disppaul100" localSheetId="10" hidden="1">{"'gráf jan00'!$A$1:$AK$41"}</definedName>
    <definedName name="disppaul100" localSheetId="11" hidden="1">{"'gráf jan00'!$A$1:$AK$41"}</definedName>
    <definedName name="disppaul100" localSheetId="5" hidden="1">{"'gráf jan00'!$A$1:$AK$41"}</definedName>
    <definedName name="disppaul100" localSheetId="4" hidden="1">{"'gráf jan00'!$A$1:$AK$41"}</definedName>
    <definedName name="disppaul100" hidden="1">{"'gráf jan00'!$A$1:$AK$41"}</definedName>
    <definedName name="disppaul11" localSheetId="3" hidden="1">{"'Quadro'!$A$4:$BG$78"}</definedName>
    <definedName name="disppaul11" localSheetId="6" hidden="1">{"'Quadro'!$A$4:$BG$78"}</definedName>
    <definedName name="disppaul11" localSheetId="7" hidden="1">{"'Quadro'!$A$4:$BG$78"}</definedName>
    <definedName name="disppaul11" localSheetId="10" hidden="1">{"'Quadro'!$A$4:$BG$78"}</definedName>
    <definedName name="disppaul11" localSheetId="11" hidden="1">{"'Quadro'!$A$4:$BG$78"}</definedName>
    <definedName name="disppaul11" localSheetId="5" hidden="1">{"'Quadro'!$A$4:$BG$78"}</definedName>
    <definedName name="disppaul11" localSheetId="4" hidden="1">{"'Quadro'!$A$4:$BG$78"}</definedName>
    <definedName name="disppaul11" hidden="1">{"'Quadro'!$A$4:$BG$78"}</definedName>
    <definedName name="disppaul12" localSheetId="3" hidden="1">{"'gráf jan00'!$A$1:$AK$41"}</definedName>
    <definedName name="disppaul12" localSheetId="6" hidden="1">{"'gráf jan00'!$A$1:$AK$41"}</definedName>
    <definedName name="disppaul12" localSheetId="7" hidden="1">{"'gráf jan00'!$A$1:$AK$41"}</definedName>
    <definedName name="disppaul12" localSheetId="10" hidden="1">{"'gráf jan00'!$A$1:$AK$41"}</definedName>
    <definedName name="disppaul12" localSheetId="11" hidden="1">{"'gráf jan00'!$A$1:$AK$41"}</definedName>
    <definedName name="disppaul12" localSheetId="5" hidden="1">{"'gráf jan00'!$A$1:$AK$41"}</definedName>
    <definedName name="disppaul12" localSheetId="4" hidden="1">{"'gráf jan00'!$A$1:$AK$41"}</definedName>
    <definedName name="disppaul12" hidden="1">{"'gráf jan00'!$A$1:$AK$41"}</definedName>
    <definedName name="disppaul13" localSheetId="3" hidden="1">{"'gráf jan00'!$A$1:$AK$41"}</definedName>
    <definedName name="disppaul13" localSheetId="6" hidden="1">{"'gráf jan00'!$A$1:$AK$41"}</definedName>
    <definedName name="disppaul13" localSheetId="7" hidden="1">{"'gráf jan00'!$A$1:$AK$41"}</definedName>
    <definedName name="disppaul13" localSheetId="10" hidden="1">{"'gráf jan00'!$A$1:$AK$41"}</definedName>
    <definedName name="disppaul13" localSheetId="11" hidden="1">{"'gráf jan00'!$A$1:$AK$41"}</definedName>
    <definedName name="disppaul13" localSheetId="5" hidden="1">{"'gráf jan00'!$A$1:$AK$41"}</definedName>
    <definedName name="disppaul13" localSheetId="4" hidden="1">{"'gráf jan00'!$A$1:$AK$41"}</definedName>
    <definedName name="disppaul13" hidden="1">{"'gráf jan00'!$A$1:$AK$41"}</definedName>
    <definedName name="disppaul14" localSheetId="3" hidden="1">{"'gráf jan00'!$A$1:$AK$41"}</definedName>
    <definedName name="disppaul14" localSheetId="6" hidden="1">{"'gráf jan00'!$A$1:$AK$41"}</definedName>
    <definedName name="disppaul14" localSheetId="7" hidden="1">{"'gráf jan00'!$A$1:$AK$41"}</definedName>
    <definedName name="disppaul14" localSheetId="10" hidden="1">{"'gráf jan00'!$A$1:$AK$41"}</definedName>
    <definedName name="disppaul14" localSheetId="11" hidden="1">{"'gráf jan00'!$A$1:$AK$41"}</definedName>
    <definedName name="disppaul14" localSheetId="5" hidden="1">{"'gráf jan00'!$A$1:$AK$41"}</definedName>
    <definedName name="disppaul14" localSheetId="4" hidden="1">{"'gráf jan00'!$A$1:$AK$41"}</definedName>
    <definedName name="disppaul14" hidden="1">{"'gráf jan00'!$A$1:$AK$41"}</definedName>
    <definedName name="disppaul15" localSheetId="3" hidden="1">{"'gráf jan00'!$A$1:$AK$41"}</definedName>
    <definedName name="disppaul15" localSheetId="6" hidden="1">{"'gráf jan00'!$A$1:$AK$41"}</definedName>
    <definedName name="disppaul15" localSheetId="7" hidden="1">{"'gráf jan00'!$A$1:$AK$41"}</definedName>
    <definedName name="disppaul15" localSheetId="10" hidden="1">{"'gráf jan00'!$A$1:$AK$41"}</definedName>
    <definedName name="disppaul15" localSheetId="11" hidden="1">{"'gráf jan00'!$A$1:$AK$41"}</definedName>
    <definedName name="disppaul15" localSheetId="5" hidden="1">{"'gráf jan00'!$A$1:$AK$41"}</definedName>
    <definedName name="disppaul15" localSheetId="4" hidden="1">{"'gráf jan00'!$A$1:$AK$41"}</definedName>
    <definedName name="disppaul15" hidden="1">{"'gráf jan00'!$A$1:$AK$41"}</definedName>
    <definedName name="disppaul2" localSheetId="3" hidden="1">{"'gráf jan00'!$A$1:$AK$41"}</definedName>
    <definedName name="disppaul2" localSheetId="6" hidden="1">{"'gráf jan00'!$A$1:$AK$41"}</definedName>
    <definedName name="disppaul2" localSheetId="7" hidden="1">{"'gráf jan00'!$A$1:$AK$41"}</definedName>
    <definedName name="disppaul2" localSheetId="10" hidden="1">{"'gráf jan00'!$A$1:$AK$41"}</definedName>
    <definedName name="disppaul2" localSheetId="11" hidden="1">{"'gráf jan00'!$A$1:$AK$41"}</definedName>
    <definedName name="disppaul2" localSheetId="5" hidden="1">{"'gráf jan00'!$A$1:$AK$41"}</definedName>
    <definedName name="disppaul2" localSheetId="4" hidden="1">{"'gráf jan00'!$A$1:$AK$41"}</definedName>
    <definedName name="disppaul2" hidden="1">{"'gráf jan00'!$A$1:$AK$41"}</definedName>
    <definedName name="disppaul4" localSheetId="3" hidden="1">{"'gráf jan00'!$A$1:$AK$41"}</definedName>
    <definedName name="disppaul4" localSheetId="6" hidden="1">{"'gráf jan00'!$A$1:$AK$41"}</definedName>
    <definedName name="disppaul4" localSheetId="7" hidden="1">{"'gráf jan00'!$A$1:$AK$41"}</definedName>
    <definedName name="disppaul4" localSheetId="10" hidden="1">{"'gráf jan00'!$A$1:$AK$41"}</definedName>
    <definedName name="disppaul4" localSheetId="11" hidden="1">{"'gráf jan00'!$A$1:$AK$41"}</definedName>
    <definedName name="disppaul4" localSheetId="5" hidden="1">{"'gráf jan00'!$A$1:$AK$41"}</definedName>
    <definedName name="disppaul4" localSheetId="4" hidden="1">{"'gráf jan00'!$A$1:$AK$41"}</definedName>
    <definedName name="disppaul4" hidden="1">{"'gráf jan00'!$A$1:$AK$41"}</definedName>
    <definedName name="DispTelGASAG" localSheetId="3" hidden="1">{"'teste'!$B$2:$R$49"}</definedName>
    <definedName name="DispTelGASAG" localSheetId="6" hidden="1">{"'teste'!$B$2:$R$49"}</definedName>
    <definedName name="DispTelGASAG" localSheetId="7" hidden="1">{"'teste'!$B$2:$R$49"}</definedName>
    <definedName name="DispTelGASAG" localSheetId="10" hidden="1">{"'teste'!$B$2:$R$49"}</definedName>
    <definedName name="DispTelGASAG" localSheetId="11" hidden="1">{"'teste'!$B$2:$R$49"}</definedName>
    <definedName name="DispTelGASAG" localSheetId="5" hidden="1">{"'teste'!$B$2:$R$49"}</definedName>
    <definedName name="DispTelGASAG" localSheetId="4" hidden="1">{"'teste'!$B$2:$R$49"}</definedName>
    <definedName name="DispTelGASAG" hidden="1">{"'teste'!$B$2:$R$49"}</definedName>
    <definedName name="ditf" localSheetId="3" hidden="1">{"'CptDifn'!$AA$32:$AG$32"}</definedName>
    <definedName name="ditf" localSheetId="6" hidden="1">{"'CptDifn'!$AA$32:$AG$32"}</definedName>
    <definedName name="ditf" localSheetId="7" hidden="1">{"'CptDifn'!$AA$32:$AG$32"}</definedName>
    <definedName name="ditf" localSheetId="10" hidden="1">{"'CptDifn'!$AA$32:$AG$32"}</definedName>
    <definedName name="ditf" localSheetId="11" hidden="1">{"'CptDifn'!$AA$32:$AG$32"}</definedName>
    <definedName name="ditf" localSheetId="5" hidden="1">{"'CptDifn'!$AA$32:$AG$32"}</definedName>
    <definedName name="ditf" localSheetId="4" hidden="1">{"'CptDifn'!$AA$32:$AG$32"}</definedName>
    <definedName name="ditf" hidden="1">{"'CptDifn'!$AA$32:$AG$32"}</definedName>
    <definedName name="div.1">#REF!</definedName>
    <definedName name="div.10" localSheetId="3">#REF!</definedName>
    <definedName name="div.10" localSheetId="7">#REF!</definedName>
    <definedName name="div.10">#REF!</definedName>
    <definedName name="div.11" localSheetId="3">#REF!</definedName>
    <definedName name="div.11" localSheetId="7">#REF!</definedName>
    <definedName name="div.11">#REF!</definedName>
    <definedName name="div.12" localSheetId="3">#REF!</definedName>
    <definedName name="div.12" localSheetId="7">#REF!</definedName>
    <definedName name="div.12">#REF!</definedName>
    <definedName name="div.13" localSheetId="3">#REF!</definedName>
    <definedName name="div.13" localSheetId="7">#REF!</definedName>
    <definedName name="div.13">#REF!</definedName>
    <definedName name="div.14" localSheetId="3">#REF!</definedName>
    <definedName name="div.14" localSheetId="7">#REF!</definedName>
    <definedName name="div.14">#REF!</definedName>
    <definedName name="div.15" localSheetId="3">#REF!</definedName>
    <definedName name="div.15" localSheetId="7">#REF!</definedName>
    <definedName name="div.15">#REF!</definedName>
    <definedName name="div.16" localSheetId="3">#REF!</definedName>
    <definedName name="div.16" localSheetId="7">#REF!</definedName>
    <definedName name="div.16">#REF!</definedName>
    <definedName name="div.17" localSheetId="3">#REF!</definedName>
    <definedName name="div.17" localSheetId="7">#REF!</definedName>
    <definedName name="div.17">#REF!</definedName>
    <definedName name="div.18" localSheetId="3">#REF!</definedName>
    <definedName name="div.18" localSheetId="7">#REF!</definedName>
    <definedName name="div.18">#REF!</definedName>
    <definedName name="div.19" localSheetId="3">#REF!</definedName>
    <definedName name="div.19" localSheetId="7">#REF!</definedName>
    <definedName name="div.19">#REF!</definedName>
    <definedName name="div.2" localSheetId="3">#REF!</definedName>
    <definedName name="div.2" localSheetId="7">#REF!</definedName>
    <definedName name="div.2">#REF!</definedName>
    <definedName name="div.20" localSheetId="3">#REF!</definedName>
    <definedName name="div.20" localSheetId="7">#REF!</definedName>
    <definedName name="div.20">#REF!</definedName>
    <definedName name="div.21" localSheetId="3">#REF!</definedName>
    <definedName name="div.21" localSheetId="7">#REF!</definedName>
    <definedName name="div.21">#REF!</definedName>
    <definedName name="div.22" localSheetId="3">#REF!</definedName>
    <definedName name="div.22" localSheetId="7">#REF!</definedName>
    <definedName name="div.22">#REF!</definedName>
    <definedName name="div.23" localSheetId="3">#REF!</definedName>
    <definedName name="div.23" localSheetId="7">#REF!</definedName>
    <definedName name="div.23">#REF!</definedName>
    <definedName name="div.24" localSheetId="3">#REF!</definedName>
    <definedName name="div.24" localSheetId="7">#REF!</definedName>
    <definedName name="div.24">#REF!</definedName>
    <definedName name="div.25" localSheetId="3">#REF!</definedName>
    <definedName name="div.25" localSheetId="7">#REF!</definedName>
    <definedName name="div.25">#REF!</definedName>
    <definedName name="div.26" localSheetId="3">#REF!</definedName>
    <definedName name="div.26" localSheetId="7">#REF!</definedName>
    <definedName name="div.26">#REF!</definedName>
    <definedName name="div.27" localSheetId="3">#REF!</definedName>
    <definedName name="div.27" localSheetId="7">#REF!</definedName>
    <definedName name="div.27">#REF!</definedName>
    <definedName name="div.28" localSheetId="3">#REF!</definedName>
    <definedName name="div.28" localSheetId="7">#REF!</definedName>
    <definedName name="div.28">#REF!</definedName>
    <definedName name="div.29" localSheetId="3">#REF!</definedName>
    <definedName name="div.29" localSheetId="7">#REF!</definedName>
    <definedName name="div.29">#REF!</definedName>
    <definedName name="div.3" localSheetId="3">#REF!</definedName>
    <definedName name="div.3" localSheetId="7">#REF!</definedName>
    <definedName name="div.3">#REF!</definedName>
    <definedName name="div.30" localSheetId="3">#REF!</definedName>
    <definedName name="div.30" localSheetId="7">#REF!</definedName>
    <definedName name="div.30">#REF!</definedName>
    <definedName name="div.4" localSheetId="3">#REF!</definedName>
    <definedName name="div.4" localSheetId="7">#REF!</definedName>
    <definedName name="div.4">#REF!</definedName>
    <definedName name="div.5" localSheetId="3">#REF!</definedName>
    <definedName name="div.5" localSheetId="7">#REF!</definedName>
    <definedName name="div.5">#REF!</definedName>
    <definedName name="div.6" localSheetId="3">#REF!</definedName>
    <definedName name="div.6" localSheetId="7">#REF!</definedName>
    <definedName name="div.6">#REF!</definedName>
    <definedName name="div.7" localSheetId="3">#REF!</definedName>
    <definedName name="div.7" localSheetId="7">#REF!</definedName>
    <definedName name="div.7">#REF!</definedName>
    <definedName name="div.8" localSheetId="3">#REF!</definedName>
    <definedName name="div.8" localSheetId="7">#REF!</definedName>
    <definedName name="div.8">#REF!</definedName>
    <definedName name="div.9" localSheetId="3">#REF!</definedName>
    <definedName name="div.9" localSheetId="7">#REF!</definedName>
    <definedName name="div.9">#REF!</definedName>
    <definedName name="dksojd" localSheetId="3" hidden="1">{#N/A,#N/A,FALSE,"PCOL"}</definedName>
    <definedName name="dksojd" localSheetId="6" hidden="1">{#N/A,#N/A,FALSE,"PCOL"}</definedName>
    <definedName name="dksojd" localSheetId="7" hidden="1">{#N/A,#N/A,FALSE,"PCOL"}</definedName>
    <definedName name="dksojd" localSheetId="10" hidden="1">{#N/A,#N/A,FALSE,"PCOL"}</definedName>
    <definedName name="dksojd" localSheetId="11" hidden="1">{#N/A,#N/A,FALSE,"PCOL"}</definedName>
    <definedName name="dksojd" localSheetId="5" hidden="1">{#N/A,#N/A,FALSE,"PCOL"}</definedName>
    <definedName name="dksojd" localSheetId="4" hidden="1">{#N/A,#N/A,FALSE,"PCOL"}</definedName>
    <definedName name="dksojd" hidden="1">{#N/A,#N/A,FALSE,"PCOL"}</definedName>
    <definedName name="DRE">#REF!</definedName>
    <definedName name="DRI">#REF!</definedName>
    <definedName name="ds" localSheetId="3"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ds" localSheetId="6"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ds" localSheetId="7"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ds" localSheetId="10"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ds" localSheetId="11"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ds" localSheetId="5"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ds" localSheetId="4"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ds"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dsad">#REF!</definedName>
    <definedName name="DSCR_DEBT_EQUITY" localSheetId="3" hidden="1">[17]!Header1-1 &amp; "." &amp; MAX(1,COUNTA(INDEX(#REF!,MATCH([17]!Header1-1,#REF!,FALSE)):#REF!))</definedName>
    <definedName name="DSCR_DEBT_EQUITY" localSheetId="6" hidden="1">[17]!Header1-1 &amp; "." &amp; MAX(1,COUNTA(INDEX(#REF!,MATCH([17]!Header1-1,#REF!,FALSE)):#REF!))</definedName>
    <definedName name="DSCR_DEBT_EQUITY" localSheetId="7" hidden="1">[17]!Header1-1 &amp; "." &amp; MAX(1,COUNTA(INDEX(#REF!,MATCH([17]!Header1-1,#REF!,FALSE)):#REF!))</definedName>
    <definedName name="DSCR_DEBT_EQUITY" localSheetId="10" hidden="1">[17]!Header1-1 &amp; "." &amp; MAX(1,COUNTA(INDEX(#REF!,MATCH([17]!Header1-1,#REF!,FALSE)):#REF!))</definedName>
    <definedName name="DSCR_DEBT_EQUITY" localSheetId="5" hidden="1">[17]!Header1-1 &amp; "." &amp; MAX(1,COUNTA(INDEX(#REF!,MATCH([17]!Header1-1,#REF!,FALSE)):#REF!))</definedName>
    <definedName name="DSCR_DEBT_EQUITY" localSheetId="4" hidden="1">[17]!Header1-1 &amp; "." &amp; MAX(1,COUNTA(INDEX(#REF!,MATCH([17]!Header1-1,#REF!,FALSE)):#REF!))</definedName>
    <definedName name="DSCR_DEBT_EQUITY" hidden="1">[17]!Header1-1 &amp; "." &amp; MAX(1,COUNTA(INDEX(#REF!,MATCH([17]!Header1-1,#REF!,FALSE)):#REF!))</definedName>
    <definedName name="dsda" localSheetId="3" hidden="1">{#N/A,#N/A,TRUE,"indice";#N/A,#N/A,TRUE,"indicadores";#N/A,#N/A,TRUE,"comentarios"}</definedName>
    <definedName name="dsda" localSheetId="6" hidden="1">{#N/A,#N/A,TRUE,"indice";#N/A,#N/A,TRUE,"indicadores";#N/A,#N/A,TRUE,"comentarios"}</definedName>
    <definedName name="dsda" localSheetId="7" hidden="1">{#N/A,#N/A,TRUE,"indice";#N/A,#N/A,TRUE,"indicadores";#N/A,#N/A,TRUE,"comentarios"}</definedName>
    <definedName name="dsda" localSheetId="10" hidden="1">{#N/A,#N/A,TRUE,"indice";#N/A,#N/A,TRUE,"indicadores";#N/A,#N/A,TRUE,"comentarios"}</definedName>
    <definedName name="dsda" localSheetId="11" hidden="1">{#N/A,#N/A,TRUE,"indice";#N/A,#N/A,TRUE,"indicadores";#N/A,#N/A,TRUE,"comentarios"}</definedName>
    <definedName name="dsda" localSheetId="5" hidden="1">{#N/A,#N/A,TRUE,"indice";#N/A,#N/A,TRUE,"indicadores";#N/A,#N/A,TRUE,"comentarios"}</definedName>
    <definedName name="dsda" localSheetId="4" hidden="1">{#N/A,#N/A,TRUE,"indice";#N/A,#N/A,TRUE,"indicadores";#N/A,#N/A,TRUE,"comentarios"}</definedName>
    <definedName name="dsda" hidden="1">{#N/A,#N/A,TRUE,"indice";#N/A,#N/A,TRUE,"indicadores";#N/A,#N/A,TRUE,"comentarios"}</definedName>
    <definedName name="dsipaul" localSheetId="3" hidden="1">{"'gráf jan00'!$A$1:$AK$41"}</definedName>
    <definedName name="dsipaul" localSheetId="6" hidden="1">{"'gráf jan00'!$A$1:$AK$41"}</definedName>
    <definedName name="dsipaul" localSheetId="7" hidden="1">{"'gráf jan00'!$A$1:$AK$41"}</definedName>
    <definedName name="dsipaul" localSheetId="10" hidden="1">{"'gráf jan00'!$A$1:$AK$41"}</definedName>
    <definedName name="dsipaul" localSheetId="11" hidden="1">{"'gráf jan00'!$A$1:$AK$41"}</definedName>
    <definedName name="dsipaul" localSheetId="5" hidden="1">{"'gráf jan00'!$A$1:$AK$41"}</definedName>
    <definedName name="dsipaul" localSheetId="4" hidden="1">{"'gráf jan00'!$A$1:$AK$41"}</definedName>
    <definedName name="dsipaul" hidden="1">{"'gráf jan00'!$A$1:$AK$41"}</definedName>
    <definedName name="dssssss" localSheetId="3" hidden="1">{"'gráf jan00'!$A$1:$AK$41"}</definedName>
    <definedName name="dssssss" localSheetId="6" hidden="1">{"'gráf jan00'!$A$1:$AK$41"}</definedName>
    <definedName name="dssssss" localSheetId="7" hidden="1">{"'gráf jan00'!$A$1:$AK$41"}</definedName>
    <definedName name="dssssss" localSheetId="10" hidden="1">{"'gráf jan00'!$A$1:$AK$41"}</definedName>
    <definedName name="dssssss" localSheetId="11" hidden="1">{"'gráf jan00'!$A$1:$AK$41"}</definedName>
    <definedName name="dssssss" localSheetId="5" hidden="1">{"'gráf jan00'!$A$1:$AK$41"}</definedName>
    <definedName name="dssssss" localSheetId="4" hidden="1">{"'gráf jan00'!$A$1:$AK$41"}</definedName>
    <definedName name="dssssss" hidden="1">{"'gráf jan00'!$A$1:$AK$41"}</definedName>
    <definedName name="Dúvidas" localSheetId="3" hidden="1">{"'Quadro'!$A$4:$BG$78"}</definedName>
    <definedName name="Dúvidas" localSheetId="6" hidden="1">{"'Quadro'!$A$4:$BG$78"}</definedName>
    <definedName name="Dúvidas" localSheetId="7" hidden="1">{"'Quadro'!$A$4:$BG$78"}</definedName>
    <definedName name="Dúvidas" localSheetId="10" hidden="1">{"'Quadro'!$A$4:$BG$78"}</definedName>
    <definedName name="Dúvidas" localSheetId="11" hidden="1">{"'Quadro'!$A$4:$BG$78"}</definedName>
    <definedName name="Dúvidas" localSheetId="5" hidden="1">{"'Quadro'!$A$4:$BG$78"}</definedName>
    <definedName name="Dúvidas" localSheetId="4" hidden="1">{"'Quadro'!$A$4:$BG$78"}</definedName>
    <definedName name="Dúvidas" hidden="1">{"'Quadro'!$A$4:$BG$78"}</definedName>
    <definedName name="DV" localSheetId="3" hidden="1">{"'Quadro'!$A$4:$BG$78"}</definedName>
    <definedName name="DV" localSheetId="6" hidden="1">{"'Quadro'!$A$4:$BG$78"}</definedName>
    <definedName name="DV" localSheetId="7" hidden="1">{"'Quadro'!$A$4:$BG$78"}</definedName>
    <definedName name="DV" localSheetId="10" hidden="1">{"'Quadro'!$A$4:$BG$78"}</definedName>
    <definedName name="DV" localSheetId="11" hidden="1">{"'Quadro'!$A$4:$BG$78"}</definedName>
    <definedName name="DV" localSheetId="5" hidden="1">{"'Quadro'!$A$4:$BG$78"}</definedName>
    <definedName name="DV" localSheetId="4" hidden="1">{"'Quadro'!$A$4:$BG$78"}</definedName>
    <definedName name="DV" hidden="1">{"'Quadro'!$A$4:$BG$78"}</definedName>
    <definedName name="dwd" localSheetId="3" hidden="1">{"'Quadro'!$A$4:$BG$78"}</definedName>
    <definedName name="dwd" localSheetId="6" hidden="1">{"'Quadro'!$A$4:$BG$78"}</definedName>
    <definedName name="dwd" localSheetId="7" hidden="1">{"'Quadro'!$A$4:$BG$78"}</definedName>
    <definedName name="dwd" localSheetId="10" hidden="1">{"'Quadro'!$A$4:$BG$78"}</definedName>
    <definedName name="dwd" localSheetId="11" hidden="1">{"'Quadro'!$A$4:$BG$78"}</definedName>
    <definedName name="dwd" localSheetId="5" hidden="1">{"'Quadro'!$A$4:$BG$78"}</definedName>
    <definedName name="dwd" localSheetId="4" hidden="1">{"'Quadro'!$A$4:$BG$78"}</definedName>
    <definedName name="dwd" hidden="1">{"'Quadro'!$A$4:$BG$78"}</definedName>
    <definedName name="dwsdad" localSheetId="3" hidden="1">{"'ReceitaLiquidaME'!$AA$25:$AN$32"}</definedName>
    <definedName name="dwsdad" localSheetId="6" hidden="1">{"'ReceitaLiquidaME'!$AA$25:$AN$32"}</definedName>
    <definedName name="dwsdad" localSheetId="7" hidden="1">{"'ReceitaLiquidaME'!$AA$25:$AN$32"}</definedName>
    <definedName name="dwsdad" localSheetId="10" hidden="1">{"'ReceitaLiquidaME'!$AA$25:$AN$32"}</definedName>
    <definedName name="dwsdad" localSheetId="11" hidden="1">{"'ReceitaLiquidaME'!$AA$25:$AN$32"}</definedName>
    <definedName name="dwsdad" localSheetId="5" hidden="1">{"'ReceitaLiquidaME'!$AA$25:$AN$32"}</definedName>
    <definedName name="dwsdad" localSheetId="4" hidden="1">{"'ReceitaLiquidaME'!$AA$25:$AN$32"}</definedName>
    <definedName name="dwsdad" hidden="1">{"'ReceitaLiquidaME'!$AA$25:$AN$32"}</definedName>
    <definedName name="e" localSheetId="3" hidden="1">{#N/A,#N/A,FALSE,"PCOL"}</definedName>
    <definedName name="e" localSheetId="6" hidden="1">{#N/A,#N/A,FALSE,"PCOL"}</definedName>
    <definedName name="e" localSheetId="7" hidden="1">{#N/A,#N/A,FALSE,"PCOL"}</definedName>
    <definedName name="e" localSheetId="10" hidden="1">{#N/A,#N/A,FALSE,"PCOL"}</definedName>
    <definedName name="e" localSheetId="11" hidden="1">{#N/A,#N/A,FALSE,"PCOL"}</definedName>
    <definedName name="e" localSheetId="5" hidden="1">{#N/A,#N/A,FALSE,"PCOL"}</definedName>
    <definedName name="e" localSheetId="4" hidden="1">{#N/A,#N/A,FALSE,"PCOL"}</definedName>
    <definedName name="e" hidden="1">{#N/A,#N/A,FALSE,"PCOL"}</definedName>
    <definedName name="EDEDDC" localSheetId="3" hidden="1">{#N/A,#N/A,FALSE,"Cadastro";#N/A,#N/A,FALSE,"Diasmês";#N/A,#N/A,FALSE,"Refeição_3t";#N/A,#N/A,FALSE,"Refeição_Adm";#N/A,#N/A,FALSE,"Custo"}</definedName>
    <definedName name="EDEDDC" localSheetId="6" hidden="1">{#N/A,#N/A,FALSE,"Cadastro";#N/A,#N/A,FALSE,"Diasmês";#N/A,#N/A,FALSE,"Refeição_3t";#N/A,#N/A,FALSE,"Refeição_Adm";#N/A,#N/A,FALSE,"Custo"}</definedName>
    <definedName name="EDEDDC" localSheetId="7" hidden="1">{#N/A,#N/A,FALSE,"Cadastro";#N/A,#N/A,FALSE,"Diasmês";#N/A,#N/A,FALSE,"Refeição_3t";#N/A,#N/A,FALSE,"Refeição_Adm";#N/A,#N/A,FALSE,"Custo"}</definedName>
    <definedName name="EDEDDC" localSheetId="10" hidden="1">{#N/A,#N/A,FALSE,"Cadastro";#N/A,#N/A,FALSE,"Diasmês";#N/A,#N/A,FALSE,"Refeição_3t";#N/A,#N/A,FALSE,"Refeição_Adm";#N/A,#N/A,FALSE,"Custo"}</definedName>
    <definedName name="EDEDDC" localSheetId="11" hidden="1">{#N/A,#N/A,FALSE,"Cadastro";#N/A,#N/A,FALSE,"Diasmês";#N/A,#N/A,FALSE,"Refeição_3t";#N/A,#N/A,FALSE,"Refeição_Adm";#N/A,#N/A,FALSE,"Custo"}</definedName>
    <definedName name="EDEDDC" localSheetId="5" hidden="1">{#N/A,#N/A,FALSE,"Cadastro";#N/A,#N/A,FALSE,"Diasmês";#N/A,#N/A,FALSE,"Refeição_3t";#N/A,#N/A,FALSE,"Refeição_Adm";#N/A,#N/A,FALSE,"Custo"}</definedName>
    <definedName name="EDEDDC" localSheetId="4" hidden="1">{#N/A,#N/A,FALSE,"Cadastro";#N/A,#N/A,FALSE,"Diasmês";#N/A,#N/A,FALSE,"Refeição_3t";#N/A,#N/A,FALSE,"Refeição_Adm";#N/A,#N/A,FALSE,"Custo"}</definedName>
    <definedName name="EDEDDC" hidden="1">{#N/A,#N/A,FALSE,"Cadastro";#N/A,#N/A,FALSE,"Diasmês";#N/A,#N/A,FALSE,"Refeição_3t";#N/A,#N/A,FALSE,"Refeição_Adm";#N/A,#N/A,FALSE,"Custo"}</definedName>
    <definedName name="EDIFICAÇÕES">#N/A</definedName>
    <definedName name="EE" localSheetId="3" hidden="1">{#N/A,#N/A,FALSE,"310.1";#N/A,#N/A,FALSE,"321.1";#N/A,#N/A,FALSE,"320.3";#N/A,#N/A,FALSE,"330.1"}</definedName>
    <definedName name="EE" localSheetId="6" hidden="1">{#N/A,#N/A,FALSE,"310.1";#N/A,#N/A,FALSE,"321.1";#N/A,#N/A,FALSE,"320.3";#N/A,#N/A,FALSE,"330.1"}</definedName>
    <definedName name="EE" localSheetId="7" hidden="1">{#N/A,#N/A,FALSE,"310.1";#N/A,#N/A,FALSE,"321.1";#N/A,#N/A,FALSE,"320.3";#N/A,#N/A,FALSE,"330.1"}</definedName>
    <definedName name="EE" localSheetId="10" hidden="1">{#N/A,#N/A,FALSE,"310.1";#N/A,#N/A,FALSE,"321.1";#N/A,#N/A,FALSE,"320.3";#N/A,#N/A,FALSE,"330.1"}</definedName>
    <definedName name="EE" localSheetId="11" hidden="1">{#N/A,#N/A,FALSE,"310.1";#N/A,#N/A,FALSE,"321.1";#N/A,#N/A,FALSE,"320.3";#N/A,#N/A,FALSE,"330.1"}</definedName>
    <definedName name="EE" localSheetId="5" hidden="1">{#N/A,#N/A,FALSE,"310.1";#N/A,#N/A,FALSE,"321.1";#N/A,#N/A,FALSE,"320.3";#N/A,#N/A,FALSE,"330.1"}</definedName>
    <definedName name="EE" localSheetId="4" hidden="1">{#N/A,#N/A,FALSE,"310.1";#N/A,#N/A,FALSE,"321.1";#N/A,#N/A,FALSE,"320.3";#N/A,#N/A,FALSE,"330.1"}</definedName>
    <definedName name="EE" hidden="1">{#N/A,#N/A,FALSE,"310.1";#N/A,#N/A,FALSE,"321.1";#N/A,#N/A,FALSE,"320.3";#N/A,#N/A,FALSE,"330.1"}</definedName>
    <definedName name="EEE" localSheetId="3"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EEE" localSheetId="6"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EEE" localSheetId="7"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EEE" localSheetId="10"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EEE" localSheetId="1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EEE" localSheetId="5"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EEE" localSheetId="4"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EEE"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eesdd" localSheetId="3" hidden="1">{#N/A,#N/A,TRUE,"indice";#N/A,#N/A,TRUE,"indicadores";#N/A,#N/A,TRUE,"comentarios"}</definedName>
    <definedName name="eesdd" localSheetId="6" hidden="1">{#N/A,#N/A,TRUE,"indice";#N/A,#N/A,TRUE,"indicadores";#N/A,#N/A,TRUE,"comentarios"}</definedName>
    <definedName name="eesdd" localSheetId="7" hidden="1">{#N/A,#N/A,TRUE,"indice";#N/A,#N/A,TRUE,"indicadores";#N/A,#N/A,TRUE,"comentarios"}</definedName>
    <definedName name="eesdd" localSheetId="10" hidden="1">{#N/A,#N/A,TRUE,"indice";#N/A,#N/A,TRUE,"indicadores";#N/A,#N/A,TRUE,"comentarios"}</definedName>
    <definedName name="eesdd" localSheetId="11" hidden="1">{#N/A,#N/A,TRUE,"indice";#N/A,#N/A,TRUE,"indicadores";#N/A,#N/A,TRUE,"comentarios"}</definedName>
    <definedName name="eesdd" localSheetId="5" hidden="1">{#N/A,#N/A,TRUE,"indice";#N/A,#N/A,TRUE,"indicadores";#N/A,#N/A,TRUE,"comentarios"}</definedName>
    <definedName name="eesdd" localSheetId="4" hidden="1">{#N/A,#N/A,TRUE,"indice";#N/A,#N/A,TRUE,"indicadores";#N/A,#N/A,TRUE,"comentarios"}</definedName>
    <definedName name="eesdd" hidden="1">{#N/A,#N/A,TRUE,"indice";#N/A,#N/A,TRUE,"indicadores";#N/A,#N/A,TRUE,"comentarios"}</definedName>
    <definedName name="EFC" localSheetId="3" hidden="1">{"'RR'!$A$2:$E$81"}</definedName>
    <definedName name="EFC" localSheetId="6" hidden="1">{"'RR'!$A$2:$E$81"}</definedName>
    <definedName name="EFC" localSheetId="7" hidden="1">{"'RR'!$A$2:$E$81"}</definedName>
    <definedName name="EFC" localSheetId="10" hidden="1">{"'RR'!$A$2:$E$81"}</definedName>
    <definedName name="EFC" localSheetId="11" hidden="1">{"'RR'!$A$2:$E$81"}</definedName>
    <definedName name="EFC" localSheetId="5" hidden="1">{"'RR'!$A$2:$E$81"}</definedName>
    <definedName name="EFC" localSheetId="4" hidden="1">{"'RR'!$A$2:$E$81"}</definedName>
    <definedName name="EFC" hidden="1">{"'RR'!$A$2:$E$81"}</definedName>
    <definedName name="EFCEletron" localSheetId="3" hidden="1">{"'RR'!$A$2:$E$81"}</definedName>
    <definedName name="EFCEletron" localSheetId="6" hidden="1">{"'RR'!$A$2:$E$81"}</definedName>
    <definedName name="EFCEletron" localSheetId="7" hidden="1">{"'RR'!$A$2:$E$81"}</definedName>
    <definedName name="EFCEletron" localSheetId="10" hidden="1">{"'RR'!$A$2:$E$81"}</definedName>
    <definedName name="EFCEletron" localSheetId="11" hidden="1">{"'RR'!$A$2:$E$81"}</definedName>
    <definedName name="EFCEletron" localSheetId="5" hidden="1">{"'RR'!$A$2:$E$81"}</definedName>
    <definedName name="EFCEletron" localSheetId="4" hidden="1">{"'RR'!$A$2:$E$81"}</definedName>
    <definedName name="EFCEletron" hidden="1">{"'RR'!$A$2:$E$81"}</definedName>
    <definedName name="EFVM" localSheetId="3" hidden="1">{"'RR'!$A$2:$E$81"}</definedName>
    <definedName name="EFVM" localSheetId="6" hidden="1">{"'RR'!$A$2:$E$81"}</definedName>
    <definedName name="EFVM" localSheetId="7" hidden="1">{"'RR'!$A$2:$E$81"}</definedName>
    <definedName name="EFVM" localSheetId="10" hidden="1">{"'RR'!$A$2:$E$81"}</definedName>
    <definedName name="EFVM" localSheetId="11" hidden="1">{"'RR'!$A$2:$E$81"}</definedName>
    <definedName name="EFVM" localSheetId="5" hidden="1">{"'RR'!$A$2:$E$81"}</definedName>
    <definedName name="EFVM" localSheetId="4" hidden="1">{"'RR'!$A$2:$E$81"}</definedName>
    <definedName name="EFVM" hidden="1">{"'RR'!$A$2:$E$81"}</definedName>
    <definedName name="EFVM2" localSheetId="3" hidden="1">{"'RR'!$A$2:$E$81"}</definedName>
    <definedName name="EFVM2" localSheetId="6" hidden="1">{"'RR'!$A$2:$E$81"}</definedName>
    <definedName name="EFVM2" localSheetId="7" hidden="1">{"'RR'!$A$2:$E$81"}</definedName>
    <definedName name="EFVM2" localSheetId="10" hidden="1">{"'RR'!$A$2:$E$81"}</definedName>
    <definedName name="EFVM2" localSheetId="11" hidden="1">{"'RR'!$A$2:$E$81"}</definedName>
    <definedName name="EFVM2" localSheetId="5" hidden="1">{"'RR'!$A$2:$E$81"}</definedName>
    <definedName name="EFVM2" localSheetId="4" hidden="1">{"'RR'!$A$2:$E$81"}</definedName>
    <definedName name="EFVM2" hidden="1">{"'RR'!$A$2:$E$81"}</definedName>
    <definedName name="EFVM3" localSheetId="3" hidden="1">{"'RR'!$A$2:$E$81"}</definedName>
    <definedName name="EFVM3" localSheetId="6" hidden="1">{"'RR'!$A$2:$E$81"}</definedName>
    <definedName name="EFVM3" localSheetId="7" hidden="1">{"'RR'!$A$2:$E$81"}</definedName>
    <definedName name="EFVM3" localSheetId="10" hidden="1">{"'RR'!$A$2:$E$81"}</definedName>
    <definedName name="EFVM3" localSheetId="11" hidden="1">{"'RR'!$A$2:$E$81"}</definedName>
    <definedName name="EFVM3" localSheetId="5" hidden="1">{"'RR'!$A$2:$E$81"}</definedName>
    <definedName name="EFVM3" localSheetId="4" hidden="1">{"'RR'!$A$2:$E$81"}</definedName>
    <definedName name="EFVM3" hidden="1">{"'RR'!$A$2:$E$81"}</definedName>
    <definedName name="EFwegfWE" localSheetId="3" hidden="1">{#N/A,#N/A,FALSE,"Anexo I";#N/A,#N/A,FALSE,"Anexo II";#N/A,#N/A,FALSE,"Anexo III"}</definedName>
    <definedName name="EFwegfWE" localSheetId="6" hidden="1">{#N/A,#N/A,FALSE,"Anexo I";#N/A,#N/A,FALSE,"Anexo II";#N/A,#N/A,FALSE,"Anexo III"}</definedName>
    <definedName name="EFwegfWE" localSheetId="7" hidden="1">{#N/A,#N/A,FALSE,"Anexo I";#N/A,#N/A,FALSE,"Anexo II";#N/A,#N/A,FALSE,"Anexo III"}</definedName>
    <definedName name="EFwegfWE" localSheetId="10" hidden="1">{#N/A,#N/A,FALSE,"Anexo I";#N/A,#N/A,FALSE,"Anexo II";#N/A,#N/A,FALSE,"Anexo III"}</definedName>
    <definedName name="EFwegfWE" localSheetId="11" hidden="1">{#N/A,#N/A,FALSE,"Anexo I";#N/A,#N/A,FALSE,"Anexo II";#N/A,#N/A,FALSE,"Anexo III"}</definedName>
    <definedName name="EFwegfWE" localSheetId="5" hidden="1">{#N/A,#N/A,FALSE,"Anexo I";#N/A,#N/A,FALSE,"Anexo II";#N/A,#N/A,FALSE,"Anexo III"}</definedName>
    <definedName name="EFwegfWE" localSheetId="4" hidden="1">{#N/A,#N/A,FALSE,"Anexo I";#N/A,#N/A,FALSE,"Anexo II";#N/A,#N/A,FALSE,"Anexo III"}</definedName>
    <definedName name="EFwegfWE" hidden="1">{#N/A,#N/A,FALSE,"Anexo I";#N/A,#N/A,FALSE,"Anexo II";#N/A,#N/A,FALSE,"Anexo III"}</definedName>
    <definedName name="EGFewgfWEG" localSheetId="3" hidden="1">{#N/A,#N/A,FALSE,"OORS";#N/A,#N/A,FALSE,"OEOT Ferrovia";#N/A,#N/A,FALSE,"OEOT Manobreiro";#N/A,#N/A,FALSE,"OEOT Rodovia";#N/A,#N/A,FALSE,"OEOT Bota Fora";#N/A,#N/A,FALSE,"OORQ";#N/A,#N/A,FALSE,"OORF Apoio";#N/A,#N/A,FALSE,"OORF Canaleiro";#N/A,#N/A,FALSE,"OORC";#N/A,#N/A,FALSE,"OOLO";#N/A,#N/A,FALSE,"OOEA";#N/A,#N/A,FALSE,"OEOM";#N/A,#N/A,FALSE,"OOE";#N/A,#N/A,FALSE,"OOEE";#N/A,#N/A,FALSE,"OERM";#N/A,#N/A,FALSE,"POOL";#N/A,#N/A,FALSE,"Extra OORS";#N/A,#N/A,FALSE,"Extra OEOT Ferrovia";#N/A,#N/A,FALSE,"Extra OEOT Manobreiro";#N/A,#N/A,FALSE,"Extra OEOT Rodovia";#N/A,#N/A,FALSE,"Extra OEOT Bota Fora";#N/A,#N/A,FALSE,"Extra OORQ";#N/A,#N/A,FALSE,"Extra OORF Apoio";#N/A,#N/A,FALSE,"Extra OORF Canaleiro";#N/A,#N/A,FALSE,"Extra OORC";#N/A,#N/A,FALSE,"Extra OOLO";#N/A,#N/A,FALSE,"Extra OOEA";#N/A,#N/A,FALSE,"Extra OEOM";#N/A,#N/A,FALSE,"Extra OOE";#N/A,#N/A,FALSE,"Extra OOEE";#N/A,#N/A,FALSE,"Extra OERM";#N/A,#N/A,FALSE,"Extra POOL"}</definedName>
    <definedName name="EGFewgfWEG" localSheetId="6" hidden="1">{#N/A,#N/A,FALSE,"OORS";#N/A,#N/A,FALSE,"OEOT Ferrovia";#N/A,#N/A,FALSE,"OEOT Manobreiro";#N/A,#N/A,FALSE,"OEOT Rodovia";#N/A,#N/A,FALSE,"OEOT Bota Fora";#N/A,#N/A,FALSE,"OORQ";#N/A,#N/A,FALSE,"OORF Apoio";#N/A,#N/A,FALSE,"OORF Canaleiro";#N/A,#N/A,FALSE,"OORC";#N/A,#N/A,FALSE,"OOLO";#N/A,#N/A,FALSE,"OOEA";#N/A,#N/A,FALSE,"OEOM";#N/A,#N/A,FALSE,"OOE";#N/A,#N/A,FALSE,"OOEE";#N/A,#N/A,FALSE,"OERM";#N/A,#N/A,FALSE,"POOL";#N/A,#N/A,FALSE,"Extra OORS";#N/A,#N/A,FALSE,"Extra OEOT Ferrovia";#N/A,#N/A,FALSE,"Extra OEOT Manobreiro";#N/A,#N/A,FALSE,"Extra OEOT Rodovia";#N/A,#N/A,FALSE,"Extra OEOT Bota Fora";#N/A,#N/A,FALSE,"Extra OORQ";#N/A,#N/A,FALSE,"Extra OORF Apoio";#N/A,#N/A,FALSE,"Extra OORF Canaleiro";#N/A,#N/A,FALSE,"Extra OORC";#N/A,#N/A,FALSE,"Extra OOLO";#N/A,#N/A,FALSE,"Extra OOEA";#N/A,#N/A,FALSE,"Extra OEOM";#N/A,#N/A,FALSE,"Extra OOE";#N/A,#N/A,FALSE,"Extra OOEE";#N/A,#N/A,FALSE,"Extra OERM";#N/A,#N/A,FALSE,"Extra POOL"}</definedName>
    <definedName name="EGFewgfWEG" localSheetId="7" hidden="1">{#N/A,#N/A,FALSE,"OORS";#N/A,#N/A,FALSE,"OEOT Ferrovia";#N/A,#N/A,FALSE,"OEOT Manobreiro";#N/A,#N/A,FALSE,"OEOT Rodovia";#N/A,#N/A,FALSE,"OEOT Bota Fora";#N/A,#N/A,FALSE,"OORQ";#N/A,#N/A,FALSE,"OORF Apoio";#N/A,#N/A,FALSE,"OORF Canaleiro";#N/A,#N/A,FALSE,"OORC";#N/A,#N/A,FALSE,"OOLO";#N/A,#N/A,FALSE,"OOEA";#N/A,#N/A,FALSE,"OEOM";#N/A,#N/A,FALSE,"OOE";#N/A,#N/A,FALSE,"OOEE";#N/A,#N/A,FALSE,"OERM";#N/A,#N/A,FALSE,"POOL";#N/A,#N/A,FALSE,"Extra OORS";#N/A,#N/A,FALSE,"Extra OEOT Ferrovia";#N/A,#N/A,FALSE,"Extra OEOT Manobreiro";#N/A,#N/A,FALSE,"Extra OEOT Rodovia";#N/A,#N/A,FALSE,"Extra OEOT Bota Fora";#N/A,#N/A,FALSE,"Extra OORQ";#N/A,#N/A,FALSE,"Extra OORF Apoio";#N/A,#N/A,FALSE,"Extra OORF Canaleiro";#N/A,#N/A,FALSE,"Extra OORC";#N/A,#N/A,FALSE,"Extra OOLO";#N/A,#N/A,FALSE,"Extra OOEA";#N/A,#N/A,FALSE,"Extra OEOM";#N/A,#N/A,FALSE,"Extra OOE";#N/A,#N/A,FALSE,"Extra OOEE";#N/A,#N/A,FALSE,"Extra OERM";#N/A,#N/A,FALSE,"Extra POOL"}</definedName>
    <definedName name="EGFewgfWEG" localSheetId="10" hidden="1">{#N/A,#N/A,FALSE,"OORS";#N/A,#N/A,FALSE,"OEOT Ferrovia";#N/A,#N/A,FALSE,"OEOT Manobreiro";#N/A,#N/A,FALSE,"OEOT Rodovia";#N/A,#N/A,FALSE,"OEOT Bota Fora";#N/A,#N/A,FALSE,"OORQ";#N/A,#N/A,FALSE,"OORF Apoio";#N/A,#N/A,FALSE,"OORF Canaleiro";#N/A,#N/A,FALSE,"OORC";#N/A,#N/A,FALSE,"OOLO";#N/A,#N/A,FALSE,"OOEA";#N/A,#N/A,FALSE,"OEOM";#N/A,#N/A,FALSE,"OOE";#N/A,#N/A,FALSE,"OOEE";#N/A,#N/A,FALSE,"OERM";#N/A,#N/A,FALSE,"POOL";#N/A,#N/A,FALSE,"Extra OORS";#N/A,#N/A,FALSE,"Extra OEOT Ferrovia";#N/A,#N/A,FALSE,"Extra OEOT Manobreiro";#N/A,#N/A,FALSE,"Extra OEOT Rodovia";#N/A,#N/A,FALSE,"Extra OEOT Bota Fora";#N/A,#N/A,FALSE,"Extra OORQ";#N/A,#N/A,FALSE,"Extra OORF Apoio";#N/A,#N/A,FALSE,"Extra OORF Canaleiro";#N/A,#N/A,FALSE,"Extra OORC";#N/A,#N/A,FALSE,"Extra OOLO";#N/A,#N/A,FALSE,"Extra OOEA";#N/A,#N/A,FALSE,"Extra OEOM";#N/A,#N/A,FALSE,"Extra OOE";#N/A,#N/A,FALSE,"Extra OOEE";#N/A,#N/A,FALSE,"Extra OERM";#N/A,#N/A,FALSE,"Extra POOL"}</definedName>
    <definedName name="EGFewgfWEG" localSheetId="11" hidden="1">{#N/A,#N/A,FALSE,"OORS";#N/A,#N/A,FALSE,"OEOT Ferrovia";#N/A,#N/A,FALSE,"OEOT Manobreiro";#N/A,#N/A,FALSE,"OEOT Rodovia";#N/A,#N/A,FALSE,"OEOT Bota Fora";#N/A,#N/A,FALSE,"OORQ";#N/A,#N/A,FALSE,"OORF Apoio";#N/A,#N/A,FALSE,"OORF Canaleiro";#N/A,#N/A,FALSE,"OORC";#N/A,#N/A,FALSE,"OOLO";#N/A,#N/A,FALSE,"OOEA";#N/A,#N/A,FALSE,"OEOM";#N/A,#N/A,FALSE,"OOE";#N/A,#N/A,FALSE,"OOEE";#N/A,#N/A,FALSE,"OERM";#N/A,#N/A,FALSE,"POOL";#N/A,#N/A,FALSE,"Extra OORS";#N/A,#N/A,FALSE,"Extra OEOT Ferrovia";#N/A,#N/A,FALSE,"Extra OEOT Manobreiro";#N/A,#N/A,FALSE,"Extra OEOT Rodovia";#N/A,#N/A,FALSE,"Extra OEOT Bota Fora";#N/A,#N/A,FALSE,"Extra OORQ";#N/A,#N/A,FALSE,"Extra OORF Apoio";#N/A,#N/A,FALSE,"Extra OORF Canaleiro";#N/A,#N/A,FALSE,"Extra OORC";#N/A,#N/A,FALSE,"Extra OOLO";#N/A,#N/A,FALSE,"Extra OOEA";#N/A,#N/A,FALSE,"Extra OEOM";#N/A,#N/A,FALSE,"Extra OOE";#N/A,#N/A,FALSE,"Extra OOEE";#N/A,#N/A,FALSE,"Extra OERM";#N/A,#N/A,FALSE,"Extra POOL"}</definedName>
    <definedName name="EGFewgfWEG" localSheetId="5" hidden="1">{#N/A,#N/A,FALSE,"OORS";#N/A,#N/A,FALSE,"OEOT Ferrovia";#N/A,#N/A,FALSE,"OEOT Manobreiro";#N/A,#N/A,FALSE,"OEOT Rodovia";#N/A,#N/A,FALSE,"OEOT Bota Fora";#N/A,#N/A,FALSE,"OORQ";#N/A,#N/A,FALSE,"OORF Apoio";#N/A,#N/A,FALSE,"OORF Canaleiro";#N/A,#N/A,FALSE,"OORC";#N/A,#N/A,FALSE,"OOLO";#N/A,#N/A,FALSE,"OOEA";#N/A,#N/A,FALSE,"OEOM";#N/A,#N/A,FALSE,"OOE";#N/A,#N/A,FALSE,"OOEE";#N/A,#N/A,FALSE,"OERM";#N/A,#N/A,FALSE,"POOL";#N/A,#N/A,FALSE,"Extra OORS";#N/A,#N/A,FALSE,"Extra OEOT Ferrovia";#N/A,#N/A,FALSE,"Extra OEOT Manobreiro";#N/A,#N/A,FALSE,"Extra OEOT Rodovia";#N/A,#N/A,FALSE,"Extra OEOT Bota Fora";#N/A,#N/A,FALSE,"Extra OORQ";#N/A,#N/A,FALSE,"Extra OORF Apoio";#N/A,#N/A,FALSE,"Extra OORF Canaleiro";#N/A,#N/A,FALSE,"Extra OORC";#N/A,#N/A,FALSE,"Extra OOLO";#N/A,#N/A,FALSE,"Extra OOEA";#N/A,#N/A,FALSE,"Extra OEOM";#N/A,#N/A,FALSE,"Extra OOE";#N/A,#N/A,FALSE,"Extra OOEE";#N/A,#N/A,FALSE,"Extra OERM";#N/A,#N/A,FALSE,"Extra POOL"}</definedName>
    <definedName name="EGFewgfWEG" localSheetId="4" hidden="1">{#N/A,#N/A,FALSE,"OORS";#N/A,#N/A,FALSE,"OEOT Ferrovia";#N/A,#N/A,FALSE,"OEOT Manobreiro";#N/A,#N/A,FALSE,"OEOT Rodovia";#N/A,#N/A,FALSE,"OEOT Bota Fora";#N/A,#N/A,FALSE,"OORQ";#N/A,#N/A,FALSE,"OORF Apoio";#N/A,#N/A,FALSE,"OORF Canaleiro";#N/A,#N/A,FALSE,"OORC";#N/A,#N/A,FALSE,"OOLO";#N/A,#N/A,FALSE,"OOEA";#N/A,#N/A,FALSE,"OEOM";#N/A,#N/A,FALSE,"OOE";#N/A,#N/A,FALSE,"OOEE";#N/A,#N/A,FALSE,"OERM";#N/A,#N/A,FALSE,"POOL";#N/A,#N/A,FALSE,"Extra OORS";#N/A,#N/A,FALSE,"Extra OEOT Ferrovia";#N/A,#N/A,FALSE,"Extra OEOT Manobreiro";#N/A,#N/A,FALSE,"Extra OEOT Rodovia";#N/A,#N/A,FALSE,"Extra OEOT Bota Fora";#N/A,#N/A,FALSE,"Extra OORQ";#N/A,#N/A,FALSE,"Extra OORF Apoio";#N/A,#N/A,FALSE,"Extra OORF Canaleiro";#N/A,#N/A,FALSE,"Extra OORC";#N/A,#N/A,FALSE,"Extra OOLO";#N/A,#N/A,FALSE,"Extra OOEA";#N/A,#N/A,FALSE,"Extra OEOM";#N/A,#N/A,FALSE,"Extra OOE";#N/A,#N/A,FALSE,"Extra OOEE";#N/A,#N/A,FALSE,"Extra OERM";#N/A,#N/A,FALSE,"Extra POOL"}</definedName>
    <definedName name="EGFewgfWEG" hidden="1">{#N/A,#N/A,FALSE,"OORS";#N/A,#N/A,FALSE,"OEOT Ferrovia";#N/A,#N/A,FALSE,"OEOT Manobreiro";#N/A,#N/A,FALSE,"OEOT Rodovia";#N/A,#N/A,FALSE,"OEOT Bota Fora";#N/A,#N/A,FALSE,"OORQ";#N/A,#N/A,FALSE,"OORF Apoio";#N/A,#N/A,FALSE,"OORF Canaleiro";#N/A,#N/A,FALSE,"OORC";#N/A,#N/A,FALSE,"OOLO";#N/A,#N/A,FALSE,"OOEA";#N/A,#N/A,FALSE,"OEOM";#N/A,#N/A,FALSE,"OOE";#N/A,#N/A,FALSE,"OOEE";#N/A,#N/A,FALSE,"OERM";#N/A,#N/A,FALSE,"POOL";#N/A,#N/A,FALSE,"Extra OORS";#N/A,#N/A,FALSE,"Extra OEOT Ferrovia";#N/A,#N/A,FALSE,"Extra OEOT Manobreiro";#N/A,#N/A,FALSE,"Extra OEOT Rodovia";#N/A,#N/A,FALSE,"Extra OEOT Bota Fora";#N/A,#N/A,FALSE,"Extra OORQ";#N/A,#N/A,FALSE,"Extra OORF Apoio";#N/A,#N/A,FALSE,"Extra OORF Canaleiro";#N/A,#N/A,FALSE,"Extra OORC";#N/A,#N/A,FALSE,"Extra OOLO";#N/A,#N/A,FALSE,"Extra OOEA";#N/A,#N/A,FALSE,"Extra OEOM";#N/A,#N/A,FALSE,"Extra OOE";#N/A,#N/A,FALSE,"Extra OOEE";#N/A,#N/A,FALSE,"Extra OERM";#N/A,#N/A,FALSE,"Extra POOL"}</definedName>
    <definedName name="EJI" localSheetId="3" hidden="1">{"'Quadro'!$A$4:$BG$78"}</definedName>
    <definedName name="EJI" localSheetId="6" hidden="1">{"'Quadro'!$A$4:$BG$78"}</definedName>
    <definedName name="EJI" localSheetId="7" hidden="1">{"'Quadro'!$A$4:$BG$78"}</definedName>
    <definedName name="EJI" localSheetId="10" hidden="1">{"'Quadro'!$A$4:$BG$78"}</definedName>
    <definedName name="EJI" localSheetId="11" hidden="1">{"'Quadro'!$A$4:$BG$78"}</definedName>
    <definedName name="EJI" localSheetId="5" hidden="1">{"'Quadro'!$A$4:$BG$78"}</definedName>
    <definedName name="EJI" localSheetId="4" hidden="1">{"'Quadro'!$A$4:$BG$78"}</definedName>
    <definedName name="EJI" hidden="1">{"'Quadro'!$A$4:$BG$78"}</definedName>
    <definedName name="ELÉTRICA">#N/A</definedName>
    <definedName name="eli" localSheetId="3" hidden="1">{#N/A,#N/A,TRUE,"forside";#N/A,#N/A,TRUE,"Res_AOGT";#N/A,#N/A,TRUE,"Bal_AOGT";#N/A,#N/A,TRUE,"Kont_AOGT";#N/A,#N/A,TRUE,"Note 1-5";#N/A,#N/A,TRUE,"Note 6-9";#N/A,#N/A,TRUE,"Bal_note10-14";#N/A,#N/A,TRUE,"Note 15-16";#N/A,#N/A,TRUE,"Note 17-19";#N/A,#N/A,TRUE,"Note 19 forts.";#N/A,#N/A,TRUE,"Note 20-23";#N/A,#N/A,TRUE,"Nøkkeltall"}</definedName>
    <definedName name="eli" localSheetId="6" hidden="1">{#N/A,#N/A,TRUE,"forside";#N/A,#N/A,TRUE,"Res_AOGT";#N/A,#N/A,TRUE,"Bal_AOGT";#N/A,#N/A,TRUE,"Kont_AOGT";#N/A,#N/A,TRUE,"Note 1-5";#N/A,#N/A,TRUE,"Note 6-9";#N/A,#N/A,TRUE,"Bal_note10-14";#N/A,#N/A,TRUE,"Note 15-16";#N/A,#N/A,TRUE,"Note 17-19";#N/A,#N/A,TRUE,"Note 19 forts.";#N/A,#N/A,TRUE,"Note 20-23";#N/A,#N/A,TRUE,"Nøkkeltall"}</definedName>
    <definedName name="eli" localSheetId="7" hidden="1">{#N/A,#N/A,TRUE,"forside";#N/A,#N/A,TRUE,"Res_AOGT";#N/A,#N/A,TRUE,"Bal_AOGT";#N/A,#N/A,TRUE,"Kont_AOGT";#N/A,#N/A,TRUE,"Note 1-5";#N/A,#N/A,TRUE,"Note 6-9";#N/A,#N/A,TRUE,"Bal_note10-14";#N/A,#N/A,TRUE,"Note 15-16";#N/A,#N/A,TRUE,"Note 17-19";#N/A,#N/A,TRUE,"Note 19 forts.";#N/A,#N/A,TRUE,"Note 20-23";#N/A,#N/A,TRUE,"Nøkkeltall"}</definedName>
    <definedName name="eli" localSheetId="10" hidden="1">{#N/A,#N/A,TRUE,"forside";#N/A,#N/A,TRUE,"Res_AOGT";#N/A,#N/A,TRUE,"Bal_AOGT";#N/A,#N/A,TRUE,"Kont_AOGT";#N/A,#N/A,TRUE,"Note 1-5";#N/A,#N/A,TRUE,"Note 6-9";#N/A,#N/A,TRUE,"Bal_note10-14";#N/A,#N/A,TRUE,"Note 15-16";#N/A,#N/A,TRUE,"Note 17-19";#N/A,#N/A,TRUE,"Note 19 forts.";#N/A,#N/A,TRUE,"Note 20-23";#N/A,#N/A,TRUE,"Nøkkeltall"}</definedName>
    <definedName name="eli" localSheetId="11" hidden="1">{#N/A,#N/A,TRUE,"forside";#N/A,#N/A,TRUE,"Res_AOGT";#N/A,#N/A,TRUE,"Bal_AOGT";#N/A,#N/A,TRUE,"Kont_AOGT";#N/A,#N/A,TRUE,"Note 1-5";#N/A,#N/A,TRUE,"Note 6-9";#N/A,#N/A,TRUE,"Bal_note10-14";#N/A,#N/A,TRUE,"Note 15-16";#N/A,#N/A,TRUE,"Note 17-19";#N/A,#N/A,TRUE,"Note 19 forts.";#N/A,#N/A,TRUE,"Note 20-23";#N/A,#N/A,TRUE,"Nøkkeltall"}</definedName>
    <definedName name="eli" localSheetId="5" hidden="1">{#N/A,#N/A,TRUE,"forside";#N/A,#N/A,TRUE,"Res_AOGT";#N/A,#N/A,TRUE,"Bal_AOGT";#N/A,#N/A,TRUE,"Kont_AOGT";#N/A,#N/A,TRUE,"Note 1-5";#N/A,#N/A,TRUE,"Note 6-9";#N/A,#N/A,TRUE,"Bal_note10-14";#N/A,#N/A,TRUE,"Note 15-16";#N/A,#N/A,TRUE,"Note 17-19";#N/A,#N/A,TRUE,"Note 19 forts.";#N/A,#N/A,TRUE,"Note 20-23";#N/A,#N/A,TRUE,"Nøkkeltall"}</definedName>
    <definedName name="eli" localSheetId="4" hidden="1">{#N/A,#N/A,TRUE,"forside";#N/A,#N/A,TRUE,"Res_AOGT";#N/A,#N/A,TRUE,"Bal_AOGT";#N/A,#N/A,TRUE,"Kont_AOGT";#N/A,#N/A,TRUE,"Note 1-5";#N/A,#N/A,TRUE,"Note 6-9";#N/A,#N/A,TRUE,"Bal_note10-14";#N/A,#N/A,TRUE,"Note 15-16";#N/A,#N/A,TRUE,"Note 17-19";#N/A,#N/A,TRUE,"Note 19 forts.";#N/A,#N/A,TRUE,"Note 20-23";#N/A,#N/A,TRUE,"Nøkkeltall"}</definedName>
    <definedName name="eli" hidden="1">{#N/A,#N/A,TRUE,"forside";#N/A,#N/A,TRUE,"Res_AOGT";#N/A,#N/A,TRUE,"Bal_AOGT";#N/A,#N/A,TRUE,"Kont_AOGT";#N/A,#N/A,TRUE,"Note 1-5";#N/A,#N/A,TRUE,"Note 6-9";#N/A,#N/A,TRUE,"Bal_note10-14";#N/A,#N/A,TRUE,"Note 15-16";#N/A,#N/A,TRUE,"Note 17-19";#N/A,#N/A,TRUE,"Note 19 forts.";#N/A,#N/A,TRUE,"Note 20-23";#N/A,#N/A,TRUE,"Nøkkeltall"}</definedName>
    <definedName name="Elton" localSheetId="3" hidden="1">{"'RR'!$A$2:$E$81"}</definedName>
    <definedName name="Elton" localSheetId="6" hidden="1">{"'RR'!$A$2:$E$81"}</definedName>
    <definedName name="Elton" localSheetId="7" hidden="1">{"'RR'!$A$2:$E$81"}</definedName>
    <definedName name="Elton" localSheetId="10" hidden="1">{"'RR'!$A$2:$E$81"}</definedName>
    <definedName name="Elton" localSheetId="11" hidden="1">{"'RR'!$A$2:$E$81"}</definedName>
    <definedName name="Elton" localSheetId="5" hidden="1">{"'RR'!$A$2:$E$81"}</definedName>
    <definedName name="Elton" localSheetId="4" hidden="1">{"'RR'!$A$2:$E$81"}</definedName>
    <definedName name="Elton" hidden="1">{"'RR'!$A$2:$E$81"}</definedName>
    <definedName name="ENCARGO_MEN">'[13]$Preços'!$EA$66</definedName>
    <definedName name="ENERGIA" localSheetId="3"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ENERGIA" localSheetId="6"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ENERGIA" localSheetId="7"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ENERGIA" localSheetId="10"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ENERGIA" localSheetId="1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ENERGIA" localSheetId="5"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ENERGIA" localSheetId="4"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ENERGIA"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EQ" localSheetId="3">#REF!</definedName>
    <definedName name="EQ" localSheetId="6">#REF!</definedName>
    <definedName name="EQ" localSheetId="7">#REF!</definedName>
    <definedName name="EQ" localSheetId="10">#REF!</definedName>
    <definedName name="EQ" localSheetId="11">#REF!</definedName>
    <definedName name="EQ">#REF!</definedName>
    <definedName name="EQCPU">'[11]CPU SICRO'!$R$7:$AB$491</definedName>
    <definedName name="erb" localSheetId="3" hidden="1">{"'Quadro'!$A$4:$BG$78"}</definedName>
    <definedName name="erb" localSheetId="6" hidden="1">{"'Quadro'!$A$4:$BG$78"}</definedName>
    <definedName name="erb" localSheetId="7" hidden="1">{"'Quadro'!$A$4:$BG$78"}</definedName>
    <definedName name="erb" localSheetId="10" hidden="1">{"'Quadro'!$A$4:$BG$78"}</definedName>
    <definedName name="erb" localSheetId="11" hidden="1">{"'Quadro'!$A$4:$BG$78"}</definedName>
    <definedName name="erb" localSheetId="5" hidden="1">{"'Quadro'!$A$4:$BG$78"}</definedName>
    <definedName name="erb" localSheetId="4" hidden="1">{"'Quadro'!$A$4:$BG$78"}</definedName>
    <definedName name="erb" hidden="1">{"'Quadro'!$A$4:$BG$78"}</definedName>
    <definedName name="erc" localSheetId="3" hidden="1">{"'RR'!$A$2:$E$81"}</definedName>
    <definedName name="erc" localSheetId="6" hidden="1">{"'RR'!$A$2:$E$81"}</definedName>
    <definedName name="erc" localSheetId="7" hidden="1">{"'RR'!$A$2:$E$81"}</definedName>
    <definedName name="erc" localSheetId="10" hidden="1">{"'RR'!$A$2:$E$81"}</definedName>
    <definedName name="erc" localSheetId="11" hidden="1">{"'RR'!$A$2:$E$81"}</definedName>
    <definedName name="erc" localSheetId="5" hidden="1">{"'RR'!$A$2:$E$81"}</definedName>
    <definedName name="erc" localSheetId="4" hidden="1">{"'RR'!$A$2:$E$81"}</definedName>
    <definedName name="erc" hidden="1">{"'RR'!$A$2:$E$81"}</definedName>
    <definedName name="ERRO" localSheetId="3" hidden="1">{"'CptDifn'!$AA$32:$AG$32"}</definedName>
    <definedName name="ERRO" localSheetId="6" hidden="1">{"'CptDifn'!$AA$32:$AG$32"}</definedName>
    <definedName name="ERRO" localSheetId="7" hidden="1">{"'CptDifn'!$AA$32:$AG$32"}</definedName>
    <definedName name="ERRO" localSheetId="10" hidden="1">{"'CptDifn'!$AA$32:$AG$32"}</definedName>
    <definedName name="ERRO" localSheetId="11" hidden="1">{"'CptDifn'!$AA$32:$AG$32"}</definedName>
    <definedName name="ERRO" localSheetId="5" hidden="1">{"'CptDifn'!$AA$32:$AG$32"}</definedName>
    <definedName name="ERRO" localSheetId="4" hidden="1">{"'CptDifn'!$AA$32:$AG$32"}</definedName>
    <definedName name="ERRO" hidden="1">{"'CptDifn'!$AA$32:$AG$32"}</definedName>
    <definedName name="ERRO1" localSheetId="3" hidden="1">{"'CptDifn'!$AA$32:$AG$32"}</definedName>
    <definedName name="ERRO1" localSheetId="6" hidden="1">{"'CptDifn'!$AA$32:$AG$32"}</definedName>
    <definedName name="ERRO1" localSheetId="7" hidden="1">{"'CptDifn'!$AA$32:$AG$32"}</definedName>
    <definedName name="ERRO1" localSheetId="10" hidden="1">{"'CptDifn'!$AA$32:$AG$32"}</definedName>
    <definedName name="ERRO1" localSheetId="11" hidden="1">{"'CptDifn'!$AA$32:$AG$32"}</definedName>
    <definedName name="ERRO1" localSheetId="5" hidden="1">{"'CptDifn'!$AA$32:$AG$32"}</definedName>
    <definedName name="ERRO1" localSheetId="4" hidden="1">{"'CptDifn'!$AA$32:$AG$32"}</definedName>
    <definedName name="ERRO1" hidden="1">{"'CptDifn'!$AA$32:$AG$32"}</definedName>
    <definedName name="ERRO3" localSheetId="3" hidden="1">{"'CptDifn'!$AA$32:$AG$32"}</definedName>
    <definedName name="ERRO3" localSheetId="6" hidden="1">{"'CptDifn'!$AA$32:$AG$32"}</definedName>
    <definedName name="ERRO3" localSheetId="7" hidden="1">{"'CptDifn'!$AA$32:$AG$32"}</definedName>
    <definedName name="ERRO3" localSheetId="10" hidden="1">{"'CptDifn'!$AA$32:$AG$32"}</definedName>
    <definedName name="ERRO3" localSheetId="11" hidden="1">{"'CptDifn'!$AA$32:$AG$32"}</definedName>
    <definedName name="ERRO3" localSheetId="5" hidden="1">{"'CptDifn'!$AA$32:$AG$32"}</definedName>
    <definedName name="ERRO3" localSheetId="4" hidden="1">{"'CptDifn'!$AA$32:$AG$32"}</definedName>
    <definedName name="ERRO3" hidden="1">{"'CptDifn'!$AA$32:$AG$32"}</definedName>
    <definedName name="ERRO4" localSheetId="3" hidden="1">{"'CptDifn'!$AA$32:$AG$32"}</definedName>
    <definedName name="ERRO4" localSheetId="6" hidden="1">{"'CptDifn'!$AA$32:$AG$32"}</definedName>
    <definedName name="ERRO4" localSheetId="7" hidden="1">{"'CptDifn'!$AA$32:$AG$32"}</definedName>
    <definedName name="ERRO4" localSheetId="10" hidden="1">{"'CptDifn'!$AA$32:$AG$32"}</definedName>
    <definedName name="ERRO4" localSheetId="11" hidden="1">{"'CptDifn'!$AA$32:$AG$32"}</definedName>
    <definedName name="ERRO4" localSheetId="5" hidden="1">{"'CptDifn'!$AA$32:$AG$32"}</definedName>
    <definedName name="ERRO4" localSheetId="4" hidden="1">{"'CptDifn'!$AA$32:$AG$32"}</definedName>
    <definedName name="ERRO4" hidden="1">{"'CptDifn'!$AA$32:$AG$32"}</definedName>
    <definedName name="ERRO5" localSheetId="3" hidden="1">{"'CptDifn'!$AA$32:$AG$32"}</definedName>
    <definedName name="ERRO5" localSheetId="6" hidden="1">{"'CptDifn'!$AA$32:$AG$32"}</definedName>
    <definedName name="ERRO5" localSheetId="7" hidden="1">{"'CptDifn'!$AA$32:$AG$32"}</definedName>
    <definedName name="ERRO5" localSheetId="10" hidden="1">{"'CptDifn'!$AA$32:$AG$32"}</definedName>
    <definedName name="ERRO5" localSheetId="11" hidden="1">{"'CptDifn'!$AA$32:$AG$32"}</definedName>
    <definedName name="ERRO5" localSheetId="5" hidden="1">{"'CptDifn'!$AA$32:$AG$32"}</definedName>
    <definedName name="ERRO5" localSheetId="4" hidden="1">{"'CptDifn'!$AA$32:$AG$32"}</definedName>
    <definedName name="ERRO5" hidden="1">{"'CptDifn'!$AA$32:$AG$32"}</definedName>
    <definedName name="ERRO6" localSheetId="3" hidden="1">{"'CptDifn'!$AA$32:$AG$32"}</definedName>
    <definedName name="ERRO6" localSheetId="6" hidden="1">{"'CptDifn'!$AA$32:$AG$32"}</definedName>
    <definedName name="ERRO6" localSheetId="7" hidden="1">{"'CptDifn'!$AA$32:$AG$32"}</definedName>
    <definedName name="ERRO6" localSheetId="10" hidden="1">{"'CptDifn'!$AA$32:$AG$32"}</definedName>
    <definedName name="ERRO6" localSheetId="11" hidden="1">{"'CptDifn'!$AA$32:$AG$32"}</definedName>
    <definedName name="ERRO6" localSheetId="5" hidden="1">{"'CptDifn'!$AA$32:$AG$32"}</definedName>
    <definedName name="ERRO6" localSheetId="4" hidden="1">{"'CptDifn'!$AA$32:$AG$32"}</definedName>
    <definedName name="ERRO6" hidden="1">{"'CptDifn'!$AA$32:$AG$32"}</definedName>
    <definedName name="ERRRRRRRRRRRRRRRO" localSheetId="3" hidden="1">{"'CptDifn'!$AA$32:$AG$32"}</definedName>
    <definedName name="ERRRRRRRRRRRRRRRO" localSheetId="6" hidden="1">{"'CptDifn'!$AA$32:$AG$32"}</definedName>
    <definedName name="ERRRRRRRRRRRRRRRO" localSheetId="7" hidden="1">{"'CptDifn'!$AA$32:$AG$32"}</definedName>
    <definedName name="ERRRRRRRRRRRRRRRO" localSheetId="10" hidden="1">{"'CptDifn'!$AA$32:$AG$32"}</definedName>
    <definedName name="ERRRRRRRRRRRRRRRO" localSheetId="11" hidden="1">{"'CptDifn'!$AA$32:$AG$32"}</definedName>
    <definedName name="ERRRRRRRRRRRRRRRO" localSheetId="5" hidden="1">{"'CptDifn'!$AA$32:$AG$32"}</definedName>
    <definedName name="ERRRRRRRRRRRRRRRO" localSheetId="4" hidden="1">{"'CptDifn'!$AA$32:$AG$32"}</definedName>
    <definedName name="ERRRRRRRRRRRRRRRO" hidden="1">{"'CptDifn'!$AA$32:$AG$32"}</definedName>
    <definedName name="ertert" hidden="1">#REF!</definedName>
    <definedName name="erwer" localSheetId="3"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erwer" localSheetId="6"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erwer" localSheetId="7"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erwer" localSheetId="10"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erwer" localSheetId="11"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erwer" localSheetId="5"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erwer" localSheetId="4"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erwer"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est_B" localSheetId="3" hidden="1">{#N/A,#N/A,FALSE,"PCOL"}</definedName>
    <definedName name="est_B" localSheetId="6" hidden="1">{#N/A,#N/A,FALSE,"PCOL"}</definedName>
    <definedName name="est_B" localSheetId="7" hidden="1">{#N/A,#N/A,FALSE,"PCOL"}</definedName>
    <definedName name="est_B" localSheetId="10" hidden="1">{#N/A,#N/A,FALSE,"PCOL"}</definedName>
    <definedName name="est_B" localSheetId="11" hidden="1">{#N/A,#N/A,FALSE,"PCOL"}</definedName>
    <definedName name="est_B" localSheetId="5" hidden="1">{#N/A,#N/A,FALSE,"PCOL"}</definedName>
    <definedName name="est_B" localSheetId="4" hidden="1">{#N/A,#N/A,FALSE,"PCOL"}</definedName>
    <definedName name="est_B" hidden="1">{#N/A,#N/A,FALSE,"PCOL"}</definedName>
    <definedName name="eU" localSheetId="3" hidden="1">{#N/A,#N/A,FALSE,"PCOL"}</definedName>
    <definedName name="eU" localSheetId="6" hidden="1">{#N/A,#N/A,FALSE,"PCOL"}</definedName>
    <definedName name="eU" localSheetId="7" hidden="1">{#N/A,#N/A,FALSE,"PCOL"}</definedName>
    <definedName name="eU" localSheetId="10" hidden="1">{#N/A,#N/A,FALSE,"PCOL"}</definedName>
    <definedName name="eU" localSheetId="11" hidden="1">{#N/A,#N/A,FALSE,"PCOL"}</definedName>
    <definedName name="eU" localSheetId="5" hidden="1">{#N/A,#N/A,FALSE,"PCOL"}</definedName>
    <definedName name="eU" localSheetId="4" hidden="1">{#N/A,#N/A,FALSE,"PCOL"}</definedName>
    <definedName name="eU" hidden="1">{#N/A,#N/A,FALSE,"PCOL"}</definedName>
    <definedName name="ev.Calculation" hidden="1">-4135</definedName>
    <definedName name="ev.Initialized" hidden="1">FALSE</definedName>
    <definedName name="EV__DECIMALSYMBOL__" hidden="1">","</definedName>
    <definedName name="EV__EVCOM_OPTIONS__" hidden="1">8</definedName>
    <definedName name="EV__EXPOPTIONS__" hidden="1">1</definedName>
    <definedName name="EV__LASTREFTIME__" hidden="1">"(GMT+01:00)20/09/2012 17:33:59"</definedName>
    <definedName name="EV__LOCKEDCVW__ACTIVITY" hidden="1">"ACC_ACT_AUTOP,IG_CATEGORY,JER_1,DUMMY_C1,DUMMY_C2,INPUT_CORR,DUME,TRAMOS_DUMMY,SECTORS,2012.APR,YTD,"</definedName>
    <definedName name="EV__LOCKEDCVW__AFFILIATES" hidden="1">"ACC_AFLT_IMPORTE,AFLT_1,AFLT_CAT_AC,AFLT_COND_CP,AFLT_INFO_A,AFLT_OP_001,ACTIVITY_AUTOP,SELECT_TIME,YTD,"</definedName>
    <definedName name="EV__LOCKEDCVW__COUNSELORS" hidden="1">"ACC_CONS_0001,UPA_Y_CB,CONS_0000001,ACTIVITY_AUTOP,TITULO_0001,CARG_0001,Rep_Dumme,SELECT_TIME,YTD,"</definedName>
    <definedName name="EV__LOCKEDCVW__FINANCE" hidden="1">"BS,IG_CATEGORY,JER_1,DUMMY_C1,DUMMY_C2,CONSO,DUME,SF,NON_GROUP,ALL_IC,EUR,SECTORS,2012.JUN,YTD,"</definedName>
    <definedName name="EV__LOCKEDCVW__GENERALINFO" hidden="1">"ACC_IG_001,UPA_Y_CB,ACTIVITY_AUTOP,ALL_IC,SELECT_TIME,YTD,"</definedName>
    <definedName name="EV__LOCKEDCVW__HHRR" hidden="1">"ACC_RRHH_000200,UPA_Y_CB,JER_1,DUMMY_C1,DUMMY_C2,TOTAL_DATASRC_I_HR,DEP_RRHH_021700,ACTIVITY_AUTOP,F_VAR,NON_GROUP,I_NONE,EUR,SECTORS,TOT_SEX,SELECT_TIME,PERIODIC,"</definedName>
    <definedName name="EV__LOCKEDCVW__INTERCO" hidden="1">"BS,UPA_Y_CB,ACTIVITY_AUTOP,SF,ALL_IC,EUR,SELECT_TIME,YTD,"</definedName>
    <definedName name="EV__LOCKEDCVW__INVESTMENTS" hidden="1">"ACC_INV_00100,IG_CATEGORY,JER_1,DUMMY_C1,DUMMY_C2,CONSO,GRUPO_CONS,SF,NON_GROUP,I_NONE,PROJECT_TOT,EUR,SECTORS,SELECT_TIME,YTD,"</definedName>
    <definedName name="EV__LOCKEDCVW__LOCAL_FIN" hidden="1">"BS,UPA_Y_CB,ACTIVITY_AUTOP,SELECT_TIME,YTD,"</definedName>
    <definedName name="EV__LOCKEDCVW__MACRO" hidden="1">"IND_MACRO_ANUALES,UPA_Y_CB,JER_1,ACTIVITY_AUTOP,SELECT_TIME,YTD,"</definedName>
    <definedName name="EV__LOCKEDCVW__Ownership" hidden="1">"UPA_Y_CB,ACTIVITY_AUTOP,NON_GROUP,ALL_IC,METHOD,SELECT_TIME,PERIODIC,"</definedName>
    <definedName name="EV__LOCKEDCVW__RATE" hidden="1">"UPA_Y_CB,EUR,AVG,GLOBAL,SELECT_TIME,YTD,"</definedName>
    <definedName name="EV__LOCKEDCVW__STOCKS" hidden="1">"ACC_BOLSA_0001,ANALISTDUMMY,UPA_Y_CB,1218,01,TOTAL,SELECT_TIME,YTD,"</definedName>
    <definedName name="EV__LOCKSTATUS__" hidden="1">2</definedName>
    <definedName name="EV__MAXEXPCOLS__" hidden="1">100</definedName>
    <definedName name="EV__MAXEXPROWS__" hidden="1">1000</definedName>
    <definedName name="EV__MEMORYCVW__" hidden="1">1</definedName>
    <definedName name="EV__MEMORYCVW__01_MEN_REP_12.XLSM" hidden="1">"[FINANCE"</definedName>
    <definedName name="EV__MEMORYCVW__01_MEN_REP_12_PATCH1.XLSM" hidden="1">"[FINANCE"</definedName>
    <definedName name="EV__MEMORYCVW__01_MEN_REP_12_PATCH1.XLSM_ACCOUNT_FIN" hidden="1">"[BS"</definedName>
    <definedName name="EV__MEMORYCVW__01_MEN_REP_12_PATCH1.XLSM_CATEGORY" hidden="1">"[ACTUAL"</definedName>
    <definedName name="EV__MEMORYCVW__01_MEN_REP_12_PATCH1.XLSM_COUNTRY" hidden="1">"[JER_1"</definedName>
    <definedName name="EV__MEMORYCVW__01_MEN_REP_12_PATCH1.XLSM_CUSTOM_1" hidden="1">"[DUMMY_C1"</definedName>
    <definedName name="EV__MEMORYCVW__01_MEN_REP_12_PATCH1.XLSM_CUSTOM_2" hidden="1">"[DUMMY_C2"</definedName>
    <definedName name="EV__MEMORYCVW__01_MEN_REP_12_PATCH1.XLSM_DATASRC" hidden="1">"[CONSO"</definedName>
    <definedName name="EV__MEMORYCVW__01_MEN_REP_12_PATCH1.XLSM_ENTITY" hidden="1">"[1061"</definedName>
    <definedName name="EV__MEMORYCVW__01_MEN_REP_12_PATCH1.XLSM_FLOW" hidden="1">"[SF"</definedName>
    <definedName name="EV__MEMORYCVW__01_MEN_REP_12_PATCH1.XLSM_GROUPS" hidden="1">"[NON_GROUP"</definedName>
    <definedName name="EV__MEMORYCVW__01_MEN_REP_12_PATCH1.XLSM_INTCO" hidden="1">"[ALL_IC"</definedName>
    <definedName name="EV__MEMORYCVW__01_MEN_REP_12_PATCH1.XLSM_MEASURES" hidden="1">"[YTD"</definedName>
    <definedName name="EV__MEMORYCVW__01_MEN_REP_12_PATCH1.XLSM_RPTCURRENCY" hidden="1">"[LC"</definedName>
    <definedName name="EV__MEMORYCVW__01_MEN_REP_12_PATCH1.XLSM_SECTOR" hidden="1">"[SECTORS"</definedName>
    <definedName name="EV__MEMORYCVW__01_MEN_REP_12_PATCH1.XLSM_TIME" hidden="1">"[2010.DEC"</definedName>
    <definedName name="EV__MEMORYCVW__01_MEN_REP_121" hidden="1">"[FINANCE"</definedName>
    <definedName name="EV__MEMORYCVW__01_MEN_REP_12V2.XLSM" hidden="1">"[FINANCE"</definedName>
    <definedName name="EV__MEMORYCVW__01_MEN_REP_2011.XLSM" hidden="1">"[FINANCE"</definedName>
    <definedName name="EV__MEMORYCVW__01_MEN_REP_2011.XLSM_ACCOUNT_FIN" hidden="1">"[RDOGRUPO"</definedName>
    <definedName name="EV__MEMORYCVW__01_MEN_REP_2011.XLSM_CATEGORY" hidden="1">"[ACTUAL"</definedName>
    <definedName name="EV__MEMORYCVW__01_MEN_REP_2011.XLSM_COUNTRY" hidden="1">"[JER_1"</definedName>
    <definedName name="EV__MEMORYCVW__01_MEN_REP_2011.XLSM_CUSTOM_1" hidden="1">"[DUMMY_C1"</definedName>
    <definedName name="EV__MEMORYCVW__01_MEN_REP_2011.XLSM_CUSTOM_2" hidden="1">"[DUMMY_C2"</definedName>
    <definedName name="EV__MEMORYCVW__01_MEN_REP_2011.XLSM_DATASRC" hidden="1">"[AJ_POST"</definedName>
    <definedName name="EV__MEMORYCVW__01_MEN_REP_2011.XLSM_ENTITY" hidden="1">"[1051"</definedName>
    <definedName name="EV__MEMORYCVW__01_MEN_REP_2011.XLSM_FLOW" hidden="1">"[SF"</definedName>
    <definedName name="EV__MEMORYCVW__01_MEN_REP_2011.XLSM_GROUPS" hidden="1">"[G_001"</definedName>
    <definedName name="EV__MEMORYCVW__01_MEN_REP_2011.XLSM_INTCO" hidden="1">"[ALL_IC"</definedName>
    <definedName name="EV__MEMORYCVW__01_MEN_REP_2011.XLSM_MEASURES" hidden="1">"[YTD"</definedName>
    <definedName name="EV__MEMORYCVW__01_MEN_REP_2011.XLSM_RPTCURRENCY" hidden="1">"[GBP"</definedName>
    <definedName name="EV__MEMORYCVW__01_MEN_REP_2011.XLSM_SECTOR" hidden="1">"[SECTORS"</definedName>
    <definedName name="EV__MEMORYCVW__01_MEN_REP_2011.XLSM_TIME" hidden="1">"[2010.DEC"</definedName>
    <definedName name="EV__MEMORYCVW__01_MEN_REP_AUCAT_2011_06.XLSM" hidden="1">"[FINANCE"</definedName>
    <definedName name="EV__MEMORYCVW__01_MEN_REP_AUCAT_2011_06.XLSM_ACCOUNT_ACT" hidden="1">"[ACC_ACT_000001"</definedName>
    <definedName name="EV__MEMORYCVW__01_MEN_REP_AUCAT_2011_06.XLSM_ACCOUNT_FIN" hidden="1">"[RDOGRUPO"</definedName>
    <definedName name="EV__MEMORYCVW__01_MEN_REP_AUCAT_2011_06.XLSM_ACCOUNT_RRHH" hidden="1">"[ACC_RRHH_000200"</definedName>
    <definedName name="EV__MEMORYCVW__01_MEN_REP_AUCAT_2011_06.XLSM_CATEGORY" hidden="1">"[ACTUAL"</definedName>
    <definedName name="EV__MEMORYCVW__01_MEN_REP_AUCAT_2011_06.XLSM_COUNTRY" hidden="1">"[JER_1"</definedName>
    <definedName name="EV__MEMORYCVW__01_MEN_REP_AUCAT_2011_06.XLSM_CUSTOM_1" hidden="1">"[DUMMY_C1"</definedName>
    <definedName name="EV__MEMORYCVW__01_MEN_REP_AUCAT_2011_06.XLSM_CUSTOM_2" hidden="1">"[DUMMY_C2"</definedName>
    <definedName name="EV__MEMORYCVW__01_MEN_REP_AUCAT_2011_06.XLSM_DATASRC" hidden="1">"[AJ_POST"</definedName>
    <definedName name="EV__MEMORYCVW__01_MEN_REP_AUCAT_2011_06.XLSM_DATASRC_ACT" hidden="1">"[INPUT_CORR"</definedName>
    <definedName name="EV__MEMORYCVW__01_MEN_REP_AUCAT_2011_06.XLSM_DEPARTMENT" hidden="1">"[DEP_RRHH_021700"</definedName>
    <definedName name="EV__MEMORYCVW__01_MEN_REP_AUCAT_2011_06.XLSM_ENTITY" hidden="1">"[1113"</definedName>
    <definedName name="EV__MEMORYCVW__01_MEN_REP_AUCAT_2011_06.XLSM_FLOW" hidden="1">"[SF"</definedName>
    <definedName name="EV__MEMORYCVW__01_MEN_REP_AUCAT_2011_06.XLSM_FLOW_RRHH" hidden="1">"[F_VAR"</definedName>
    <definedName name="EV__MEMORYCVW__01_MEN_REP_AUCAT_2011_06.XLSM_GROUPS" hidden="1">"[G_001"</definedName>
    <definedName name="EV__MEMORYCVW__01_MEN_REP_AUCAT_2011_06.XLSM_INTCO" hidden="1">"[ALL_IC"</definedName>
    <definedName name="EV__MEMORYCVW__01_MEN_REP_AUCAT_2011_06.XLSM_MEASURES" hidden="1">"[YTD"</definedName>
    <definedName name="EV__MEMORYCVW__01_MEN_REP_AUCAT_2011_06.XLSM_RPTCURRENCY" hidden="1">"[GBP"</definedName>
    <definedName name="EV__MEMORYCVW__01_MEN_REP_AUCAT_2011_06.XLSM_SECTIONS" hidden="1">"[TRMODUMMY"</definedName>
    <definedName name="EV__MEMORYCVW__01_MEN_REP_AUCAT_2011_06.XLSM_SECTOR" hidden="1">"[SECTORS"</definedName>
    <definedName name="EV__MEMORYCVW__01_MEN_REP_AUCAT_2011_06.XLSM_SEX" hidden="1">"[TOT_SEX"</definedName>
    <definedName name="EV__MEMORYCVW__01_MEN_REP_AUCAT_2011_06.XLSM_TIME" hidden="1">"[2013.FEB"</definedName>
    <definedName name="EV__MEMORYCVW__23_VARIOS.XLSM" hidden="1">"[FINANCE"</definedName>
    <definedName name="EV__MEMORYCVW__BORRADOR.XLSM" hidden="1">"[HHRR"</definedName>
    <definedName name="EV__MEMORYCVW__BORRADOR.XLSM_ACCOUNT_RRHH" hidden="1">"[ACC_RRHH_000200"</definedName>
    <definedName name="EV__MEMORYCVW__BORRADOR.XLSM_CATEGORY" hidden="1">"[ACTUAL"</definedName>
    <definedName name="EV__MEMORYCVW__BORRADOR.XLSM_COUNTRY" hidden="1">"[JER_1"</definedName>
    <definedName name="EV__MEMORYCVW__BORRADOR.XLSM_CUSTOM_1" hidden="1">"[DUMMY_C1"</definedName>
    <definedName name="EV__MEMORYCVW__BORRADOR.XLSM_CUSTOM_2" hidden="1">"[DUMMY_C2"</definedName>
    <definedName name="EV__MEMORYCVW__BORRADOR.XLSM_DATASRC" hidden="1">"[CONSO"</definedName>
    <definedName name="EV__MEMORYCVW__BORRADOR.XLSM_DEPARTMENT" hidden="1">"[DEP_RRHH_021700"</definedName>
    <definedName name="EV__MEMORYCVW__BORRADOR.XLSM_ENTITY" hidden="1">"[DUME"</definedName>
    <definedName name="EV__MEMORYCVW__BORRADOR.XLSM_FLOW_RRHH" hidden="1">"[F_VAR"</definedName>
    <definedName name="EV__MEMORYCVW__BORRADOR.XLSM_GROUPS" hidden="1">"[NON_GROUP"</definedName>
    <definedName name="EV__MEMORYCVW__BORRADOR.XLSM_MEASURES" hidden="1">"[PERIODIC"</definedName>
    <definedName name="EV__MEMORYCVW__BORRADOR.XLSM_SECTOR" hidden="1">"[SECTORS"</definedName>
    <definedName name="EV__MEMORYCVW__BORRADOR.XLSM_SEX" hidden="1">"[TOT_SEX"</definedName>
    <definedName name="EV__MEMORYCVW__BORRADOR.XLSM_TIME" hidden="1">"[SELECT_TIME"</definedName>
    <definedName name="EV__MEMORYCVW__COLUMNAR_CONSO_SOC_SELECCIONABLE_PL1" hidden="1">"[FINANCE"</definedName>
    <definedName name="EV__MEMORYCVW__COLUMNAR_CONSO_SOC_SELECCIONABLE_PL1_ACCOUNT_FIN" hidden="1">"[RDOGRUPO"</definedName>
    <definedName name="EV__MEMORYCVW__COLUMNAR_CONSO_SOC_SELECCIONABLE_PL1_CATEGORY" hidden="1">"[ACTUAL"</definedName>
    <definedName name="EV__MEMORYCVW__COLUMNAR_CONSO_SOC_SELECCIONABLE_PL1_COUNTRY" hidden="1">"[JER_1"</definedName>
    <definedName name="EV__MEMORYCVW__COLUMNAR_CONSO_SOC_SELECCIONABLE_PL1_CUSTOM_1" hidden="1">"[DUMMY_C1"</definedName>
    <definedName name="EV__MEMORYCVW__COLUMNAR_CONSO_SOC_SELECCIONABLE_PL1_CUSTOM_2" hidden="1">"[DUMMY_C2"</definedName>
    <definedName name="EV__MEMORYCVW__COLUMNAR_CONSO_SOC_SELECCIONABLE_PL1_DATASRC" hidden="1">"[AJ_POST"</definedName>
    <definedName name="EV__MEMORYCVW__COLUMNAR_CONSO_SOC_SELECCIONABLE_PL1_ENTITY" hidden="1">"[SUBGR_FRANCE"</definedName>
    <definedName name="EV__MEMORYCVW__COLUMNAR_CONSO_SOC_SELECCIONABLE_PL1_FLOW" hidden="1">"[SF"</definedName>
    <definedName name="EV__MEMORYCVW__COLUMNAR_CONSO_SOC_SELECCIONABLE_PL1_GROUPS" hidden="1">"[G_001"</definedName>
    <definedName name="EV__MEMORYCVW__COLUMNAR_CONSO_SOC_SELECCIONABLE_PL1_INTCO" hidden="1">"[ALL_IC"</definedName>
    <definedName name="EV__MEMORYCVW__COLUMNAR_CONSO_SOC_SELECCIONABLE_PL1_MEASURES" hidden="1">"[YTD"</definedName>
    <definedName name="EV__MEMORYCVW__COLUMNAR_CONSO_SOC_SELECCIONABLE_PL1_RPTCURRENCY" hidden="1">"[GBP"</definedName>
    <definedName name="EV__MEMORYCVW__COLUMNAR_CONSO_SOC_SELECCIONABLE_PL1_SECTOR" hidden="1">"[SECTORS"</definedName>
    <definedName name="EV__MEMORYCVW__COLUMNAR_CONSO_SOC_SELECCIONABLE_PL1_TIME" hidden="1">"[2010.DEC"</definedName>
    <definedName name="EV__MEMORYCVW__DESSIEPL.XLSX" hidden="1">"[FINANCE"</definedName>
    <definedName name="EV__MEMORYCVW__DESSIEPL.XLSX_ACCOUNT_FIN" hidden="1">"[BS"</definedName>
    <definedName name="EV__MEMORYCVW__DESSIEPL.XLSX_CATEGORY" hidden="1">"[ACTUAL"</definedName>
    <definedName name="EV__MEMORYCVW__DESSIEPL.XLSX_COUNTRY" hidden="1">"[JER_1"</definedName>
    <definedName name="EV__MEMORYCVW__DESSIEPL.XLSX_CUSTOM_1" hidden="1">"[DUMMY_C1"</definedName>
    <definedName name="EV__MEMORYCVW__DESSIEPL.XLSX_CUSTOM_2" hidden="1">"[DUMMY_C2"</definedName>
    <definedName name="EV__MEMORYCVW__DESSIEPL.XLSX_DATASRC" hidden="1">"[CONSO"</definedName>
    <definedName name="EV__MEMORYCVW__DESSIEPL.XLSX_ENTITY" hidden="1">"[1114"</definedName>
    <definedName name="EV__MEMORYCVW__DESSIEPL.XLSX_FLOW" hidden="1">"[SF"</definedName>
    <definedName name="EV__MEMORYCVW__DESSIEPL.XLSX_GROUPS" hidden="1">"[G_219_PLANO"</definedName>
    <definedName name="EV__MEMORYCVW__DESSIEPL.XLSX_INTCO" hidden="1">"[ALL_IC"</definedName>
    <definedName name="EV__MEMORYCVW__DESSIEPL.XLSX_MEASURES" hidden="1">"[YTD"</definedName>
    <definedName name="EV__MEMORYCVW__DESSIEPL.XLSX_RPTCURRENCY" hidden="1">"[GBP"</definedName>
    <definedName name="EV__MEMORYCVW__DESSIEPL.XLSX_SECTOR" hidden="1">"[CONC_ESP"</definedName>
    <definedName name="EV__MEMORYCVW__DESSIEPL.XLSX_TIME" hidden="1">"[2010.TOTAL"</definedName>
    <definedName name="EV__MEMORYCVW__INFO_GENERAL_V1.XLSM" hidden="1">"[FINANCE"</definedName>
    <definedName name="EV__MEMORYCVW__INFO_GENERAL_V1.XLSM_ACCOUNT_FIN" hidden="1">"[RDOGRUPO"</definedName>
    <definedName name="EV__MEMORYCVW__INFO_GENERAL_V1.XLSM_CATEGORY" hidden="1">"[ACTUAL"</definedName>
    <definedName name="EV__MEMORYCVW__INFO_GENERAL_V1.XLSM_COUNTRY" hidden="1">"[JER_1"</definedName>
    <definedName name="EV__MEMORYCVW__INFO_GENERAL_V1.XLSM_CUSTOM_1" hidden="1">"[DUMMY_C1"</definedName>
    <definedName name="EV__MEMORYCVW__INFO_GENERAL_V1.XLSM_CUSTOM_2" hidden="1">"[DUMMY_C2"</definedName>
    <definedName name="EV__MEMORYCVW__INFO_GENERAL_V1.XLSM_DATASRC" hidden="1">"[AJ_POST"</definedName>
    <definedName name="EV__MEMORYCVW__INFO_GENERAL_V1.XLSM_ENTITY" hidden="1">"[1051"</definedName>
    <definedName name="EV__MEMORYCVW__INFO_GENERAL_V1.XLSM_FLOW" hidden="1">"[SF"</definedName>
    <definedName name="EV__MEMORYCVW__INFO_GENERAL_V1.XLSM_GROUPS" hidden="1">"[G_001"</definedName>
    <definedName name="EV__MEMORYCVW__INFO_GENERAL_V1.XLSM_INTCO" hidden="1">"[ALL_IC"</definedName>
    <definedName name="EV__MEMORYCVW__INFO_GENERAL_V1.XLSM_MEASURES" hidden="1">"[YTD"</definedName>
    <definedName name="EV__MEMORYCVW__INFO_GENERAL_V1.XLSM_RPTCURRENCY" hidden="1">"[GBP"</definedName>
    <definedName name="EV__MEMORYCVW__INFO_GENERAL_V1.XLSM_SECTOR" hidden="1">"[SECTORS"</definedName>
    <definedName name="EV__MEMORYCVW__INFO_GENERAL_V1.XLSM_TIME" hidden="1">"[2010.DEC"</definedName>
    <definedName name="EV__MEMORYCVW__INPUTMENSUALV20.XLSM" hidden="1">"[FINANCE"</definedName>
    <definedName name="EV__MEMORYCVW__INPUTMENSUALV201" hidden="1">"[FINANCE"</definedName>
    <definedName name="EV__MEMORYCVW__INPUTMENSUALV21.XLSM" hidden="1">"[FINANCE"</definedName>
    <definedName name="EV__MEMORYCVW__INPUTMENSUALV211" hidden="1">"[FINANCE"</definedName>
    <definedName name="EV__MEMORYCVW__INPUTMENSUALV221" hidden="1">"[FINANCE"</definedName>
    <definedName name="EV__MEMORYCVW__INPUTMENSUALV23.XLSM" hidden="1">"[HHRR"</definedName>
    <definedName name="EV__MEMORYCVW__INPUTMENSUALV23.XLSM_ACCOUNT_FIN" hidden="1">"[BS"</definedName>
    <definedName name="EV__MEMORYCVW__INPUTMENSUALV23.XLSM_ACCOUNT_MACRO" hidden="1">"[ACC_MACRO_0001"</definedName>
    <definedName name="EV__MEMORYCVW__INPUTMENSUALV23.XLSM_ACCOUNT_RRHH" hidden="1">"[ACC_RRHH_000200"</definedName>
    <definedName name="EV__MEMORYCVW__INPUTMENSUALV23.XLSM_CATEGORY" hidden="1">"[ACTUAL"</definedName>
    <definedName name="EV__MEMORYCVW__INPUTMENSUALV23.XLSM_COUNTRY" hidden="1">"[JER_1"</definedName>
    <definedName name="EV__MEMORYCVW__INPUTMENSUALV23.XLSM_CUSTOM_1" hidden="1">"[DUMMY_C1"</definedName>
    <definedName name="EV__MEMORYCVW__INPUTMENSUALV23.XLSM_CUSTOM_2" hidden="1">"[DUMMY_C2"</definedName>
    <definedName name="EV__MEMORYCVW__INPUTMENSUALV23.XLSM_DATASRC" hidden="1">"[CONSO"</definedName>
    <definedName name="EV__MEMORYCVW__INPUTMENSUALV23.XLSM_DEPARTMENT" hidden="1">"[DEP_RRHH_021700"</definedName>
    <definedName name="EV__MEMORYCVW__INPUTMENSUALV23.XLSM_ENTITY" hidden="1">"[DUME"</definedName>
    <definedName name="EV__MEMORYCVW__INPUTMENSUALV23.XLSM_FLOW" hidden="1">"[SF"</definedName>
    <definedName name="EV__MEMORYCVW__INPUTMENSUALV23.XLSM_FLOW_RRHH" hidden="1">"[F_VAR"</definedName>
    <definedName name="EV__MEMORYCVW__INPUTMENSUALV23.XLSM_GROUPS" hidden="1">"[NON_GROUP"</definedName>
    <definedName name="EV__MEMORYCVW__INPUTMENSUALV23.XLSM_INTCO" hidden="1">"[ALL_IC"</definedName>
    <definedName name="EV__MEMORYCVW__INPUTMENSUALV23.XLSM_MEASURES" hidden="1">"[PERIODIC"</definedName>
    <definedName name="EV__MEMORYCVW__INPUTMENSUALV23.XLSM_RPTCURRENCY" hidden="1">"[GBP"</definedName>
    <definedName name="EV__MEMORYCVW__INPUTMENSUALV23.XLSM_SECTOR" hidden="1">"[SECTORS"</definedName>
    <definedName name="EV__MEMORYCVW__INPUTMENSUALV23.XLSM_SEX" hidden="1">"[TOT_SEX"</definedName>
    <definedName name="EV__MEMORYCVW__INPUTMENSUALV23.XLSM_TIME" hidden="1">"[SELECT_TIME"</definedName>
    <definedName name="EV__MEMORYCVW__INPUTMENSUALV231" hidden="1">"[FINANCE"</definedName>
    <definedName name="EV__MEMORYCVW__INPUTMENSUALV24.XLSM" hidden="1">"[HHRR"</definedName>
    <definedName name="EV__MEMORYCVW__INPUTMENSUALV25.XLSM" hidden="1">"[FINANCE"</definedName>
    <definedName name="EV__MEMORYCVW__INPUTMENSUALV26.XLSM" hidden="1">"[FINANCE"</definedName>
    <definedName name="EV__MEMORYCVW__INPUTMENSUALV26.XLSM_ACCOUNT_FIN" hidden="1">"[RDOGRUPO"</definedName>
    <definedName name="EV__MEMORYCVW__INPUTMENSUALV26.XLSM_CATEGORY" hidden="1">"[ACTUAL"</definedName>
    <definedName name="EV__MEMORYCVW__INPUTMENSUALV26.XLSM_COUNTRY" hidden="1">"[JER_1"</definedName>
    <definedName name="EV__MEMORYCVW__INPUTMENSUALV26.XLSM_CUSTOM_1" hidden="1">"[DUMMY_C1"</definedName>
    <definedName name="EV__MEMORYCVW__INPUTMENSUALV26.XLSM_CUSTOM_2" hidden="1">"[DUMMY_C2"</definedName>
    <definedName name="EV__MEMORYCVW__INPUTMENSUALV26.XLSM_DATASRC" hidden="1">"[AJ_POST"</definedName>
    <definedName name="EV__MEMORYCVW__INPUTMENSUALV26.XLSM_ENTITY" hidden="1">"[1113"</definedName>
    <definedName name="EV__MEMORYCVW__INPUTMENSUALV26.XLSM_FLOW" hidden="1">"[SF"</definedName>
    <definedName name="EV__MEMORYCVW__INPUTMENSUALV26.XLSM_GROUPS" hidden="1">"[G_001"</definedName>
    <definedName name="EV__MEMORYCVW__INPUTMENSUALV26.XLSM_INTCO" hidden="1">"[ALL_IC"</definedName>
    <definedName name="EV__MEMORYCVW__INPUTMENSUALV26.XLSM_MEASURES" hidden="1">"[YTD"</definedName>
    <definedName name="EV__MEMORYCVW__INPUTMENSUALV26.XLSM_RPTCURRENCY" hidden="1">"[GBP"</definedName>
    <definedName name="EV__MEMORYCVW__INPUTMENSUALV26.XLSM_SECTOR" hidden="1">"[SECTORS"</definedName>
    <definedName name="EV__MEMORYCVW__INPUTMENSUALV26.XLSM_TIME" hidden="1">"[2013.FEB"</definedName>
    <definedName name="EV__MEMORYCVW__INPUTMENSUALV27.XLSM" hidden="1">"[FINANCE"</definedName>
    <definedName name="EV__MEMORYCVW__INPUTMENSUALV28.XLSM" hidden="1">"[FINANCE"</definedName>
    <definedName name="EV__MEMORYCVW__INPUTMENSUALV29.XLSM" hidden="1">"[FINANCE"</definedName>
    <definedName name="EV__MEMORYCVW__INPUTMENSUALV30.XLSM" hidden="1">"[FINANCE"</definedName>
    <definedName name="EV__MEMORYCVW__INPUTMENSUALV31.XLSM" hidden="1">"[FINANCE"</definedName>
    <definedName name="EV__MEMORYCVW__INPUTMENSUALV311" hidden="1">"[FINANCE"</definedName>
    <definedName name="EV__MEMORYCVW__INPUTMENSUALV32.XLSM" hidden="1">"[HHRR"</definedName>
    <definedName name="EV__MEMORYCVW__INPUTOUTPUTV1.XLSM" hidden="1">"[FINANCE"</definedName>
    <definedName name="EV__MEMORYCVW__INPUTOUTPUTV1.XLSM_ACCOUNT_ACT" hidden="1">"[ACC_ACT_000001"</definedName>
    <definedName name="EV__MEMORYCVW__INPUTOUTPUTV1.XLSM_ACCOUNT_FIN" hidden="1">"[RDOGRUPO"</definedName>
    <definedName name="EV__MEMORYCVW__INPUTOUTPUTV1.XLSM_CATEGORY" hidden="1">"[ACTUAL"</definedName>
    <definedName name="EV__MEMORYCVW__INPUTOUTPUTV1.XLSM_COUNTRY" hidden="1">"[JER_1"</definedName>
    <definedName name="EV__MEMORYCVW__INPUTOUTPUTV1.XLSM_CUSTOM_1" hidden="1">"[DUMMY_C1"</definedName>
    <definedName name="EV__MEMORYCVW__INPUTOUTPUTV1.XLSM_CUSTOM_2" hidden="1">"[DUMMY_C2"</definedName>
    <definedName name="EV__MEMORYCVW__INPUTOUTPUTV1.XLSM_DATASRC" hidden="1">"[AJ_POST"</definedName>
    <definedName name="EV__MEMORYCVW__INPUTOUTPUTV1.XLSM_DATASRC_ACT" hidden="1">"[INPUT_CORR"</definedName>
    <definedName name="EV__MEMORYCVW__INPUTOUTPUTV1.XLSM_ENTITY" hidden="1">"[SUBGR_FRANCE"</definedName>
    <definedName name="EV__MEMORYCVW__INPUTOUTPUTV1.XLSM_FLOW" hidden="1">"[SF"</definedName>
    <definedName name="EV__MEMORYCVW__INPUTOUTPUTV1.XLSM_GROUPS" hidden="1">"[G_001"</definedName>
    <definedName name="EV__MEMORYCVW__INPUTOUTPUTV1.XLSM_INTCO" hidden="1">"[ALL_IC"</definedName>
    <definedName name="EV__MEMORYCVW__INPUTOUTPUTV1.XLSM_MEASURES" hidden="1">"[YTD"</definedName>
    <definedName name="EV__MEMORYCVW__INPUTOUTPUTV1.XLSM_RPTCURRENCY" hidden="1">"[GBP"</definedName>
    <definedName name="EV__MEMORYCVW__INPUTOUTPUTV1.XLSM_SECTIONS" hidden="1">"[TRMODUMMY"</definedName>
    <definedName name="EV__MEMORYCVW__INPUTOUTPUTV1.XLSM_SECTOR" hidden="1">"[SECTORS"</definedName>
    <definedName name="EV__MEMORYCVW__INPUTOUTPUTV1.XLSM_TIME" hidden="1">"[2004.MAY"</definedName>
    <definedName name="EV__MEMORYCVW__INPUTOUTPUTV2.XLSM" hidden="1">"[FINANCE"</definedName>
    <definedName name="EV__MEMORYCVW__INPUTOUTPUTV2.XLSM_ACCOUNT_BOLSA" hidden="1">"[ACC_BOLSA_0001"</definedName>
    <definedName name="EV__MEMORYCVW__INPUTOUTPUTV2.XLSM_ACCOUNT_FIN" hidden="1">"[RDOGRUPO"</definedName>
    <definedName name="EV__MEMORYCVW__INPUTOUTPUTV2.XLSM_ACCOUNT_RRHH" hidden="1">"[ACC_RRHH_000200"</definedName>
    <definedName name="EV__MEMORYCVW__INPUTOUTPUTV2.XLSM_CATEGORY" hidden="1">"[ACTUAL"</definedName>
    <definedName name="EV__MEMORYCVW__INPUTOUTPUTV2.XLSM_COUNTRY" hidden="1">"[JER_1"</definedName>
    <definedName name="EV__MEMORYCVW__INPUTOUTPUTV2.XLSM_CUSTOM_1" hidden="1">"[DUMMY_C1"</definedName>
    <definedName name="EV__MEMORYCVW__INPUTOUTPUTV2.XLSM_CUSTOM_2" hidden="1">"[DUMMY_C2"</definedName>
    <definedName name="EV__MEMORYCVW__INPUTOUTPUTV2.XLSM_DATASRC" hidden="1">"[AJ_POST"</definedName>
    <definedName name="EV__MEMORYCVW__INPUTOUTPUTV2.XLSM_DATASRC_I_HR" hidden="1">"[CONSO"</definedName>
    <definedName name="EV__MEMORYCVW__INPUTOUTPUTV2.XLSM_DEPARTMENT" hidden="1">"[DEP_RRHH_021700"</definedName>
    <definedName name="EV__MEMORYCVW__INPUTOUTPUTV2.XLSM_ENTITY" hidden="1">"[SUBGR_FRANCE"</definedName>
    <definedName name="EV__MEMORYCVW__INPUTOUTPUTV2.XLSM_ENTITY_STOCK" hidden="1">"[1218"</definedName>
    <definedName name="EV__MEMORYCVW__INPUTOUTPUTV2.XLSM_FLOW" hidden="1">"[SF"</definedName>
    <definedName name="EV__MEMORYCVW__INPUTOUTPUTV2.XLSM_FLOW_RRHH" hidden="1">"[F_VAR"</definedName>
    <definedName name="EV__MEMORYCVW__INPUTOUTPUTV2.XLSM_GROUPS" hidden="1">"[G_001"</definedName>
    <definedName name="EV__MEMORYCVW__INPUTOUTPUTV2.XLSM_INTCO" hidden="1">"[ALL_IC"</definedName>
    <definedName name="EV__MEMORYCVW__INPUTOUTPUTV2.XLSM_MEASURES" hidden="1">"[YTD"</definedName>
    <definedName name="EV__MEMORYCVW__INPUTOUTPUTV2.XLSM_MONTHDAY" hidden="1">"[01"</definedName>
    <definedName name="EV__MEMORYCVW__INPUTOUTPUTV2.XLSM_RPTCURRENCY" hidden="1">"[GBP"</definedName>
    <definedName name="EV__MEMORYCVW__INPUTOUTPUTV2.XLSM_SECTOR" hidden="1">"[SECTORS"</definedName>
    <definedName name="EV__MEMORYCVW__INPUTOUTPUTV2.XLSM_SEX" hidden="1">"[TOT_SEX"</definedName>
    <definedName name="EV__MEMORYCVW__INPUTOUTPUTV2.XLSM_SHAREHOLDER" hidden="1">"[TOTAL"</definedName>
    <definedName name="EV__MEMORYCVW__INPUTOUTPUTV2.XLSM_TIME" hidden="1">"[2010.DEC"</definedName>
    <definedName name="EV__MEMORYCVW__INPUTOUTPUTV3.XLSM" hidden="1">"[HHRR"</definedName>
    <definedName name="EV__MEMORYCVW__INPUTOUTPUTV3.XLSM_ACCOUNT_RRHH" hidden="1">"[ACC_RRHH_000200"</definedName>
    <definedName name="EV__MEMORYCVW__INPUTOUTPUTV3.XLSM_CATEGORY" hidden="1">"[ACTUAL"</definedName>
    <definedName name="EV__MEMORYCVW__INPUTOUTPUTV3.XLSM_COUNTRY" hidden="1">"[JER_1"</definedName>
    <definedName name="EV__MEMORYCVW__INPUTOUTPUTV3.XLSM_CUSTOM_1" hidden="1">"[DUMMY_C1"</definedName>
    <definedName name="EV__MEMORYCVW__INPUTOUTPUTV3.XLSM_CUSTOM_2" hidden="1">"[DUMMY_C2"</definedName>
    <definedName name="EV__MEMORYCVW__INPUTOUTPUTV3.XLSM_DATASRC_I_HR" hidden="1">"[CONSO"</definedName>
    <definedName name="EV__MEMORYCVW__INPUTOUTPUTV3.XLSM_DEPARTMENT" hidden="1">"[DEP_RRHH_021700"</definedName>
    <definedName name="EV__MEMORYCVW__INPUTOUTPUTV3.XLSM_ENTITY" hidden="1">"[DUME"</definedName>
    <definedName name="EV__MEMORYCVW__INPUTOUTPUTV3.XLSM_FLOW_RRHH" hidden="1">"[F_VAR"</definedName>
    <definedName name="EV__MEMORYCVW__INPUTOUTPUTV3.XLSM_GROUPS" hidden="1">"[NON_GROUP"</definedName>
    <definedName name="EV__MEMORYCVW__INPUTOUTPUTV3.XLSM_MEASURES" hidden="1">"[PERIODIC"</definedName>
    <definedName name="EV__MEMORYCVW__INPUTOUTPUTV3.XLSM_SECTOR" hidden="1">"[SECTORS"</definedName>
    <definedName name="EV__MEMORYCVW__INPUTOUTPUTV3.XLSM_SEX" hidden="1">"[TOT_SEX"</definedName>
    <definedName name="EV__MEMORYCVW__INPUTOUTPUTV3.XLSM_TIME" hidden="1">"[SELECT_TIME"</definedName>
    <definedName name="EV__MEMORYCVW__LIBRO10" hidden="1">"[HHRR"</definedName>
    <definedName name="EV__MEMORYCVW__LIBRO10_ACCOUNT_RRHH" hidden="1">"[ACC_RRHH_000200"</definedName>
    <definedName name="EV__MEMORYCVW__LIBRO10_CATEGORY" hidden="1">"[ACTUAL"</definedName>
    <definedName name="EV__MEMORYCVW__LIBRO10_COUNTRY" hidden="1">"[JER_1"</definedName>
    <definedName name="EV__MEMORYCVW__LIBRO10_CUSTOM_1" hidden="1">"[DUMMY_C1"</definedName>
    <definedName name="EV__MEMORYCVW__LIBRO10_CUSTOM_2" hidden="1">"[DUMMY_C2"</definedName>
    <definedName name="EV__MEMORYCVW__LIBRO10_DATASRC_I_HR" hidden="1">"[CORR"</definedName>
    <definedName name="EV__MEMORYCVW__LIBRO10_DEPARTMENT" hidden="1">"[DEP_RRHH_021700"</definedName>
    <definedName name="EV__MEMORYCVW__LIBRO10_ENTITY" hidden="1">"[GRUPO_CONS"</definedName>
    <definedName name="EV__MEMORYCVW__LIBRO10_FLOW_RRHH" hidden="1">"[F_VAR"</definedName>
    <definedName name="EV__MEMORYCVW__LIBRO10_GROUPS" hidden="1">"[NON_GROUP"</definedName>
    <definedName name="EV__MEMORYCVW__LIBRO10_INTCO_INONE" hidden="1">"[I_NONE"</definedName>
    <definedName name="EV__MEMORYCVW__LIBRO10_MEASURES" hidden="1">"[PERIODIC"</definedName>
    <definedName name="EV__MEMORYCVW__LIBRO10_RPTCURRENCY" hidden="1">"[EUR"</definedName>
    <definedName name="EV__MEMORYCVW__LIBRO10_SECTOR" hidden="1">"[SECTORS"</definedName>
    <definedName name="EV__MEMORYCVW__LIBRO10_SEX" hidden="1">"[TOT_SEX"</definedName>
    <definedName name="EV__MEMORYCVW__LIBRO10_TIME" hidden="1">"[SELECT_TIME"</definedName>
    <definedName name="EV__MEMORYCVW__LIBRO2" hidden="1">"[FINANCE"</definedName>
    <definedName name="EV__MEMORYCVW__LIBRO2_ACCOUNT_ACT" hidden="1">"[ACC_ACT_000001"</definedName>
    <definedName name="EV__MEMORYCVW__LIBRO2_ACCOUNT_FIN" hidden="1">"[BS"</definedName>
    <definedName name="EV__MEMORYCVW__LIBRO2_ACCOUNT_RRHH" hidden="1">"[ACC_RRHH_000200"</definedName>
    <definedName name="EV__MEMORYCVW__LIBRO2_CATEGORY" hidden="1">"[IG_CATEGORY"</definedName>
    <definedName name="EV__MEMORYCVW__LIBRO2_COUNTRY" hidden="1">"[JER_1"</definedName>
    <definedName name="EV__MEMORYCVW__LIBRO2_CUSTOM_1" hidden="1">"[DUMMY_C1"</definedName>
    <definedName name="EV__MEMORYCVW__LIBRO2_CUSTOM_2" hidden="1">"[DUMMY_C2"</definedName>
    <definedName name="EV__MEMORYCVW__LIBRO2_DATASRC" hidden="1">"[CONSO"</definedName>
    <definedName name="EV__MEMORYCVW__LIBRO2_DATASRC_ACT" hidden="1">"[INPUT_CORR"</definedName>
    <definedName name="EV__MEMORYCVW__LIBRO2_DATASRC_I_HR" hidden="1">"[CONSO"</definedName>
    <definedName name="EV__MEMORYCVW__LIBRO2_DEPARTMENT" hidden="1">"[DEP_RRHH_021700"</definedName>
    <definedName name="EV__MEMORYCVW__LIBRO2_ENTITY" hidden="1">"[DUME"</definedName>
    <definedName name="EV__MEMORYCVW__LIBRO2_FLOW" hidden="1">"[SF"</definedName>
    <definedName name="EV__MEMORYCVW__LIBRO2_FLOW_RRHH" hidden="1">"[F_VAR"</definedName>
    <definedName name="EV__MEMORYCVW__LIBRO2_GROUPS" hidden="1">"[NON_GROUP"</definedName>
    <definedName name="EV__MEMORYCVW__LIBRO2_INTCO" hidden="1">"[ALL_IC"</definedName>
    <definedName name="EV__MEMORYCVW__LIBRO2_MEASURES" hidden="1">"[YTD"</definedName>
    <definedName name="EV__MEMORYCVW__LIBRO2_RPTCURRENCY" hidden="1">"[EUR"</definedName>
    <definedName name="EV__MEMORYCVW__LIBRO2_SECTIONS" hidden="1">"[TRMODUMMY"</definedName>
    <definedName name="EV__MEMORYCVW__LIBRO2_SECTOR" hidden="1">"[SECTORS"</definedName>
    <definedName name="EV__MEMORYCVW__LIBRO2_SEX" hidden="1">"[TOT_SEX"</definedName>
    <definedName name="EV__MEMORYCVW__LIBRO2_TIME" hidden="1">"[2012.JUN"</definedName>
    <definedName name="EV__MEMORYCVW__LIBRO3" hidden="1">"[FINANCE"</definedName>
    <definedName name="EV__MEMORYCVW__LIBRO3_ACCOUNT_ACT" hidden="1">"[ACC_ACT_000001"</definedName>
    <definedName name="EV__MEMORYCVW__LIBRO3_ACCOUNT_FIN" hidden="1">"[BS"</definedName>
    <definedName name="EV__MEMORYCVW__LIBRO3_CATEGORY" hidden="1">"[IG_CATEGORY"</definedName>
    <definedName name="EV__MEMORYCVW__LIBRO3_COUNTRY" hidden="1">"[JER_1"</definedName>
    <definedName name="EV__MEMORYCVW__LIBRO3_CUSTOM_1" hidden="1">"[DUMMY_C1"</definedName>
    <definedName name="EV__MEMORYCVW__LIBRO3_CUSTOM_2" hidden="1">"[DUMMY_C2"</definedName>
    <definedName name="EV__MEMORYCVW__LIBRO3_DATASRC" hidden="1">"[CONSO"</definedName>
    <definedName name="EV__MEMORYCVW__LIBRO3_DATASRC_ACT" hidden="1">"[INPUT_CORR"</definedName>
    <definedName name="EV__MEMORYCVW__LIBRO3_ENTITY" hidden="1">"[GRUPO_CONS"</definedName>
    <definedName name="EV__MEMORYCVW__LIBRO3_FLOW" hidden="1">"[SF"</definedName>
    <definedName name="EV__MEMORYCVW__LIBRO3_GROUPS" hidden="1">"[NON_GROUP"</definedName>
    <definedName name="EV__MEMORYCVW__LIBRO3_INTCO" hidden="1">"[ALL_IC"</definedName>
    <definedName name="EV__MEMORYCVW__LIBRO3_MEASURES" hidden="1">"[YTD"</definedName>
    <definedName name="EV__MEMORYCVW__LIBRO3_RPTCURRENCY" hidden="1">"[EUR"</definedName>
    <definedName name="EV__MEMORYCVW__LIBRO3_SECTIONS" hidden="1">"[TRMODUMMY"</definedName>
    <definedName name="EV__MEMORYCVW__LIBRO3_SECTOR" hidden="1">"[SECTORS"</definedName>
    <definedName name="EV__MEMORYCVW__LIBRO3_TIME" hidden="1">"[SELECT_TIME"</definedName>
    <definedName name="EV__MEMORYCVW__LIBRO4" hidden="1">"[FINANCE"</definedName>
    <definedName name="EV__MEMORYCVW__LIBRO6" hidden="1">"[FINANCE"</definedName>
    <definedName name="EV__MEMORYCVW__LIBRO6_ACCOUNT_FIN" hidden="1">"[RDOGRUPO"</definedName>
    <definedName name="EV__MEMORYCVW__LIBRO6_CATEGORY" hidden="1">"[TOT_CATEGORY"</definedName>
    <definedName name="EV__MEMORYCVW__LIBRO6_COUNTRY" hidden="1">"[JER_1"</definedName>
    <definedName name="EV__MEMORYCVW__LIBRO6_CUSTOM_1" hidden="1">"[DUMMY_C1"</definedName>
    <definedName name="EV__MEMORYCVW__LIBRO6_CUSTOM_2" hidden="1">"[DUMMY_C2"</definedName>
    <definedName name="EV__MEMORYCVW__LIBRO6_DATASRC" hidden="1">"[INPUT"</definedName>
    <definedName name="EV__MEMORYCVW__LIBRO6_ENTITY" hidden="1">"[WORKSTATUS"</definedName>
    <definedName name="EV__MEMORYCVW__LIBRO6_FLOW" hidden="1">"[SF"</definedName>
    <definedName name="EV__MEMORYCVW__LIBRO6_GROUPS" hidden="1">"[G_001"</definedName>
    <definedName name="EV__MEMORYCVW__LIBRO6_INTCO" hidden="1">"[ALL_IC"</definedName>
    <definedName name="EV__MEMORYCVW__LIBRO6_MEASURES" hidden="1">"[YTD"</definedName>
    <definedName name="EV__MEMORYCVW__LIBRO6_RPTCURRENCY" hidden="1">"[EUR"</definedName>
    <definedName name="EV__MEMORYCVW__LIBRO6_SECTOR" hidden="1">"[SECTORS"</definedName>
    <definedName name="EV__MEMORYCVW__LIBRO6_TIME" hidden="1">"[2005.TOTAL"</definedName>
    <definedName name="EV__MEMORYCVW__NOVA_PESTANYA_RRHH.XLSM" hidden="1">"[FINANCE"</definedName>
    <definedName name="EV__MEMORYCVW__PERFIL_CIAS_V3.XLSX" hidden="1">"[FINANCE"</definedName>
    <definedName name="EV__MEMORYCVW__PERFIL_CIAS_V3.XLSX_ACCOUNT_FIN" hidden="1">"[220100"</definedName>
    <definedName name="EV__MEMORYCVW__PERFIL_CIAS_V3.XLSX_CATEGORY" hidden="1">"[ACTUAL"</definedName>
    <definedName name="EV__MEMORYCVW__PERFIL_CIAS_V3.XLSX_COUNTRY" hidden="1">"[JER_1"</definedName>
    <definedName name="EV__MEMORYCVW__PERFIL_CIAS_V3.XLSX_CUSTOM_1" hidden="1">"[DUMMY_C1"</definedName>
    <definedName name="EV__MEMORYCVW__PERFIL_CIAS_V3.XLSX_CUSTOM_2" hidden="1">"[DUMMY_C2"</definedName>
    <definedName name="EV__MEMORYCVW__PERFIL_CIAS_V3.XLSX_DATASRC" hidden="1">"[AJ_POST"</definedName>
    <definedName name="EV__MEMORYCVW__PERFIL_CIAS_V3.XLSX_ENTITY" hidden="1">"[1138"</definedName>
    <definedName name="EV__MEMORYCVW__PERFIL_CIAS_V3.XLSX_FLOW" hidden="1">"[SF"</definedName>
    <definedName name="EV__MEMORYCVW__PERFIL_CIAS_V3.XLSX_GROUPS" hidden="1">"[G_001"</definedName>
    <definedName name="EV__MEMORYCVW__PERFIL_CIAS_V3.XLSX_INTCO" hidden="1">"[ALL_IC"</definedName>
    <definedName name="EV__MEMORYCVW__PERFIL_CIAS_V3.XLSX_MEASURES" hidden="1">"[YTD"</definedName>
    <definedName name="EV__MEMORYCVW__PERFIL_CIAS_V3.XLSX_RPTCURRENCY" hidden="1">"[GBP"</definedName>
    <definedName name="EV__MEMORYCVW__PERFIL_CIAS_V3.XLSX_SECTOR" hidden="1">"[SECTORS"</definedName>
    <definedName name="EV__MEMORYCVW__PERFIL_CIAS_V3.XLSX_TIME" hidden="1">"[2011.JUN"</definedName>
    <definedName name="EV__MEMORYCVW__PRIORIZACIÓN_TAREAS_BPC_20120127.XLS" hidden="1">"[FINANCE"</definedName>
    <definedName name="EV__MEMORYCVW__PRIORIZACIÓN_TAREAS_BPC_20120127.XLS_ACCOUNT_FIN" hidden="1">"[BS"</definedName>
    <definedName name="EV__MEMORYCVW__PRIORIZACIÓN_TAREAS_BPC_20120127.XLS_CATEGORY" hidden="1">"[ACTUAL"</definedName>
    <definedName name="EV__MEMORYCVW__PRIORIZACIÓN_TAREAS_BPC_20120127.XLS_COUNTRY" hidden="1">"[JER_1"</definedName>
    <definedName name="EV__MEMORYCVW__PRIORIZACIÓN_TAREAS_BPC_20120127.XLS_CUSTOM_1" hidden="1">"[DUMMY_C1"</definedName>
    <definedName name="EV__MEMORYCVW__PRIORIZACIÓN_TAREAS_BPC_20120127.XLS_CUSTOM_2" hidden="1">"[DUMMY_C2"</definedName>
    <definedName name="EV__MEMORYCVW__PRIORIZACIÓN_TAREAS_BPC_20120127.XLS_DATASRC" hidden="1">"[CONSO"</definedName>
    <definedName name="EV__MEMORYCVW__PRIORIZACIÓN_TAREAS_BPC_20120127.XLS_ENTITY" hidden="1">"[1231"</definedName>
    <definedName name="EV__MEMORYCVW__PRIORIZACIÓN_TAREAS_BPC_20120127.XLS_FLOW" hidden="1">"[SF"</definedName>
    <definedName name="EV__MEMORYCVW__PRIORIZACIÓN_TAREAS_BPC_20120127.XLS_GROUPS" hidden="1">"[G_001"</definedName>
    <definedName name="EV__MEMORYCVW__PRIORIZACIÓN_TAREAS_BPC_20120127.XLS_INTCO" hidden="1">"[ALL_IC"</definedName>
    <definedName name="EV__MEMORYCVW__PRIORIZACIÓN_TAREAS_BPC_20120127.XLS_MEASURES" hidden="1">"[YTD"</definedName>
    <definedName name="EV__MEMORYCVW__PRIORIZACIÓN_TAREAS_BPC_20120127.XLS_RPTCURRENCY" hidden="1">"[GBP"</definedName>
    <definedName name="EV__MEMORYCVW__PRIORIZACIÓN_TAREAS_BPC_20120127.XLS_SECTOR" hidden="1">"[CONC_ESP"</definedName>
    <definedName name="EV__MEMORYCVW__PRIORIZACIÓN_TAREAS_BPC_20120127.XLS_TIME" hidden="1">"[2010.DEC"</definedName>
    <definedName name="EV__MEMORYCVW__TEST.XLSM" hidden="1">"[FINANCE"</definedName>
    <definedName name="EV__MEMORYCVW__TEST.XLSM_ACCOUNT_FIN" hidden="1">"[RDOGRUPO"</definedName>
    <definedName name="EV__MEMORYCVW__TEST.XLSM_CATEGORY" hidden="1">"[ACTUAL"</definedName>
    <definedName name="EV__MEMORYCVW__TEST.XLSM_COUNTRY" hidden="1">"[JER_1"</definedName>
    <definedName name="EV__MEMORYCVW__TEST.XLSM_CUSTOM_1" hidden="1">"[DUMMY_C1"</definedName>
    <definedName name="EV__MEMORYCVW__TEST.XLSM_CUSTOM_2" hidden="1">"[DUMMY_C2"</definedName>
    <definedName name="EV__MEMORYCVW__TEST.XLSM_DATASRC" hidden="1">"[AJ_POST"</definedName>
    <definedName name="EV__MEMORYCVW__TEST.XLSM_ENTITY" hidden="1">"[1113"</definedName>
    <definedName name="EV__MEMORYCVW__TEST.XLSM_FLOW" hidden="1">"[SF"</definedName>
    <definedName name="EV__MEMORYCVW__TEST.XLSM_GROUPS" hidden="1">"[G_001"</definedName>
    <definedName name="EV__MEMORYCVW__TEST.XLSM_INTCO" hidden="1">"[ALL_IC"</definedName>
    <definedName name="EV__MEMORYCVW__TEST.XLSM_MEASURES" hidden="1">"[YTD"</definedName>
    <definedName name="EV__MEMORYCVW__TEST.XLSM_RPTCURRENCY" hidden="1">"[GBP"</definedName>
    <definedName name="EV__MEMORYCVW__TEST.XLSM_SECTOR" hidden="1">"[SECTORS"</definedName>
    <definedName name="EV__MEMORYCVW__TEST.XLSM_TIME" hidden="1">"[2013.FEB"</definedName>
    <definedName name="EV__MEMORYCVW__TESTV31.XLSM" hidden="1">"[FINANCE"</definedName>
    <definedName name="EV__MEMORYCVW__TESTV31.XLSM_ACCOUNT_FIN" hidden="1">"[RDOGRUPO"</definedName>
    <definedName name="EV__MEMORYCVW__TESTV31.XLSM_CATEGORY" hidden="1">"[ACTUAL"</definedName>
    <definedName name="EV__MEMORYCVW__TESTV31.XLSM_COUNTRY" hidden="1">"[JER_1"</definedName>
    <definedName name="EV__MEMORYCVW__TESTV31.XLSM_CUSTOM_1" hidden="1">"[DUMMY_C1"</definedName>
    <definedName name="EV__MEMORYCVW__TESTV31.XLSM_CUSTOM_2" hidden="1">"[DUMMY_C2"</definedName>
    <definedName name="EV__MEMORYCVW__TESTV31.XLSM_DATASRC" hidden="1">"[AJ_POST"</definedName>
    <definedName name="EV__MEMORYCVW__TESTV31.XLSM_ENTITY" hidden="1">"[1042"</definedName>
    <definedName name="EV__MEMORYCVW__TESTV31.XLSM_FLOW" hidden="1">"[SF"</definedName>
    <definedName name="EV__MEMORYCVW__TESTV31.XLSM_GROUPS" hidden="1">"[G_001"</definedName>
    <definedName name="EV__MEMORYCVW__TESTV31.XLSM_INTCO" hidden="1">"[ALL_IC"</definedName>
    <definedName name="EV__MEMORYCVW__TESTV31.XLSM_MEASURES" hidden="1">"[YTD"</definedName>
    <definedName name="EV__MEMORYCVW__TESTV31.XLSM_RPTCURRENCY" hidden="1">"[GBP"</definedName>
    <definedName name="EV__MEMORYCVW__TESTV31.XLSM_SECTOR" hidden="1">"[SECTORS"</definedName>
    <definedName name="EV__MEMORYCVW__TESTV31.XLSM_TIME" hidden="1">"[2012.JUN"</definedName>
    <definedName name="EV__MEMORYCVW__TRAMS2.XLSX" hidden="1">"[ACTIVITY"</definedName>
    <definedName name="EV__MEMORYCVW__TRAMS2.XLSX_ACCOUNT_ACT" hidden="1">"[ACC_ACT_000001"</definedName>
    <definedName name="EV__MEMORYCVW__TRAMS2.XLSX_CATEGORY" hidden="1">"[ACTUAL"</definedName>
    <definedName name="EV__MEMORYCVW__TRAMS2.XLSX_COUNTRY" hidden="1">"[JER_1"</definedName>
    <definedName name="EV__MEMORYCVW__TRAMS2.XLSX_CUSTOM_1" hidden="1">"[DUMMY_C1"</definedName>
    <definedName name="EV__MEMORYCVW__TRAMS2.XLSX_CUSTOM_2" hidden="1">"[DUMMY_C2"</definedName>
    <definedName name="EV__MEMORYCVW__TRAMS2.XLSX_DATASRC_ACT" hidden="1">"[INPUT_CORR"</definedName>
    <definedName name="EV__MEMORYCVW__TRAMS2.XLSX_ENTITY" hidden="1">"[1113"</definedName>
    <definedName name="EV__MEMORYCVW__TRAMS2.XLSX_MEASURES" hidden="1">"[YTD"</definedName>
    <definedName name="EV__MEMORYCVW__TRAMS2.XLSX_SECTIONS" hidden="1">"[TRMODUMMY"</definedName>
    <definedName name="EV__MEMORYCVW__TRAMS2.XLSX_SECTOR" hidden="1">"[SECTORS"</definedName>
    <definedName name="EV__MEMORYCVW__TRAMS2.XLSX_TIME" hidden="1">"[2011.JUN"</definedName>
    <definedName name="EV__WBEVMODE__" hidden="1">1</definedName>
    <definedName name="EV__WBREFOPTIONS__" hidden="1">134217732</definedName>
    <definedName name="EV__WBVERSION__" hidden="1">0</definedName>
    <definedName name="EV__WSINFO__" hidden="1">"asd"</definedName>
    <definedName name="ExecPess" localSheetId="3"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ExecPess" localSheetId="6"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ExecPess" localSheetId="7"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ExecPess" localSheetId="10"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ExecPess" localSheetId="11"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ExecPess" localSheetId="5"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ExecPess" localSheetId="4"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ExecPess"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Extensão">[13]Segmentos!$H$6</definedName>
    <definedName name="f" localSheetId="3"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f" localSheetId="6"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f" localSheetId="7"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f" localSheetId="10"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f" localSheetId="11"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f" localSheetId="5"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f" localSheetId="4"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f"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FAROL_2" localSheetId="3" hidden="1">{"'gráf jan00'!$A$1:$AK$41"}</definedName>
    <definedName name="FAROL_2" localSheetId="6" hidden="1">{"'gráf jan00'!$A$1:$AK$41"}</definedName>
    <definedName name="FAROL_2" localSheetId="7" hidden="1">{"'gráf jan00'!$A$1:$AK$41"}</definedName>
    <definedName name="FAROL_2" localSheetId="10" hidden="1">{"'gráf jan00'!$A$1:$AK$41"}</definedName>
    <definedName name="FAROL_2" localSheetId="11" hidden="1">{"'gráf jan00'!$A$1:$AK$41"}</definedName>
    <definedName name="FAROL_2" localSheetId="5" hidden="1">{"'gráf jan00'!$A$1:$AK$41"}</definedName>
    <definedName name="FAROL_2" localSheetId="4" hidden="1">{"'gráf jan00'!$A$1:$AK$41"}</definedName>
    <definedName name="FAROL_2" hidden="1">{"'gráf jan00'!$A$1:$AK$41"}</definedName>
    <definedName name="fasdfasfdadsf" localSheetId="3" hidden="1">{"'gráf jan00'!$A$1:$AK$41"}</definedName>
    <definedName name="fasdfasfdadsf" localSheetId="6" hidden="1">{"'gráf jan00'!$A$1:$AK$41"}</definedName>
    <definedName name="fasdfasfdadsf" localSheetId="7" hidden="1">{"'gráf jan00'!$A$1:$AK$41"}</definedName>
    <definedName name="fasdfasfdadsf" localSheetId="10" hidden="1">{"'gráf jan00'!$A$1:$AK$41"}</definedName>
    <definedName name="fasdfasfdadsf" localSheetId="11" hidden="1">{"'gráf jan00'!$A$1:$AK$41"}</definedName>
    <definedName name="fasdfasfdadsf" localSheetId="5" hidden="1">{"'gráf jan00'!$A$1:$AK$41"}</definedName>
    <definedName name="fasdfasfdadsf" localSheetId="4" hidden="1">{"'gráf jan00'!$A$1:$AK$41"}</definedName>
    <definedName name="fasdfasfdadsf" hidden="1">{"'gráf jan00'!$A$1:$AK$41"}</definedName>
    <definedName name="Fator">'[13]$Preços'!$DS$34</definedName>
    <definedName name="FCA" localSheetId="3" hidden="1">{"'Quadro'!$A$4:$BG$78"}</definedName>
    <definedName name="FCA" localSheetId="6" hidden="1">{"'Quadro'!$A$4:$BG$78"}</definedName>
    <definedName name="FCA" localSheetId="7" hidden="1">{"'Quadro'!$A$4:$BG$78"}</definedName>
    <definedName name="FCA" localSheetId="10" hidden="1">{"'Quadro'!$A$4:$BG$78"}</definedName>
    <definedName name="FCA" localSheetId="11" hidden="1">{"'Quadro'!$A$4:$BG$78"}</definedName>
    <definedName name="FCA" localSheetId="5" hidden="1">{"'Quadro'!$A$4:$BG$78"}</definedName>
    <definedName name="FCA" localSheetId="4" hidden="1">{"'Quadro'!$A$4:$BG$78"}</definedName>
    <definedName name="FCA" hidden="1">{"'Quadro'!$A$4:$BG$78"}</definedName>
    <definedName name="fd" localSheetId="3" hidden="1">{"'Quadro'!$A$4:$BG$78"}</definedName>
    <definedName name="fd" localSheetId="6" hidden="1">{"'Quadro'!$A$4:$BG$78"}</definedName>
    <definedName name="fd" localSheetId="7" hidden="1">{"'Quadro'!$A$4:$BG$78"}</definedName>
    <definedName name="fd" localSheetId="10" hidden="1">{"'Quadro'!$A$4:$BG$78"}</definedName>
    <definedName name="fd" localSheetId="11" hidden="1">{"'Quadro'!$A$4:$BG$78"}</definedName>
    <definedName name="fd" localSheetId="5" hidden="1">{"'Quadro'!$A$4:$BG$78"}</definedName>
    <definedName name="fd" localSheetId="4" hidden="1">{"'Quadro'!$A$4:$BG$78"}</definedName>
    <definedName name="fd" hidden="1">{"'Quadro'!$A$4:$BG$78"}</definedName>
    <definedName name="FDD_0_0" hidden="1">"A30681"</definedName>
    <definedName name="FDD_0_1" hidden="1">"A31047"</definedName>
    <definedName name="FDD_0_10" hidden="1">"A34334"</definedName>
    <definedName name="FDD_0_11" hidden="1">"A34699"</definedName>
    <definedName name="FDD_0_12" hidden="1">"A35064"</definedName>
    <definedName name="FDD_0_13" hidden="1">"A35430"</definedName>
    <definedName name="FDD_0_14" hidden="1">"A35795"</definedName>
    <definedName name="FDD_0_2" hidden="1">"A31412"</definedName>
    <definedName name="FDD_0_3" hidden="1">"A31777"</definedName>
    <definedName name="FDD_0_4" hidden="1">"A32142"</definedName>
    <definedName name="FDD_0_5" hidden="1">"A32508"</definedName>
    <definedName name="FDD_0_6" hidden="1">"A32873"</definedName>
    <definedName name="FDD_0_7" hidden="1">"A33238"</definedName>
    <definedName name="FDD_0_8" hidden="1">"A33603"</definedName>
    <definedName name="FDD_0_9" hidden="1">"A33969"</definedName>
    <definedName name="FDD_1_0" hidden="1">"U25569"</definedName>
    <definedName name="FDD_10_0" hidden="1">"A25569"</definedName>
    <definedName name="FDD_100_0" hidden="1">"A25569"</definedName>
    <definedName name="FDD_101_0" hidden="1">"A25569"</definedName>
    <definedName name="FDD_102_0" hidden="1">"A25569"</definedName>
    <definedName name="FDD_103_0" hidden="1">"A25569"</definedName>
    <definedName name="FDD_104_0" hidden="1">"A25569"</definedName>
    <definedName name="FDD_105_0" hidden="1">"A25569"</definedName>
    <definedName name="FDD_106_0" hidden="1">"A25569"</definedName>
    <definedName name="FDD_107_0" hidden="1">"A25569"</definedName>
    <definedName name="FDD_108_0" hidden="1">"A25569"</definedName>
    <definedName name="FDD_109_0" hidden="1">"A25569"</definedName>
    <definedName name="FDD_11_0" hidden="1">"A25569"</definedName>
    <definedName name="FDD_110_0" hidden="1">"A25569"</definedName>
    <definedName name="FDD_111_0" hidden="1">"A25569"</definedName>
    <definedName name="FDD_112_0" hidden="1">"A25569"</definedName>
    <definedName name="FDD_113_0" hidden="1">"A25569"</definedName>
    <definedName name="FDD_114_0" hidden="1">"A25569"</definedName>
    <definedName name="FDD_115_0" hidden="1">"A25569"</definedName>
    <definedName name="FDD_116_0" hidden="1">"A25569"</definedName>
    <definedName name="FDD_117_0" hidden="1">"A30681"</definedName>
    <definedName name="FDD_117_1" hidden="1">"A31047"</definedName>
    <definedName name="FDD_117_10" hidden="1">"A34334"</definedName>
    <definedName name="FDD_117_11" hidden="1">"A34699"</definedName>
    <definedName name="FDD_117_12" hidden="1">"A35064"</definedName>
    <definedName name="FDD_117_13" hidden="1">"A35430"</definedName>
    <definedName name="FDD_117_14" hidden="1">"A35795"</definedName>
    <definedName name="FDD_117_2" hidden="1">"A31412"</definedName>
    <definedName name="FDD_117_3" hidden="1">"A31777"</definedName>
    <definedName name="FDD_117_4" hidden="1">"A32142"</definedName>
    <definedName name="FDD_117_5" hidden="1">"A32508"</definedName>
    <definedName name="FDD_117_6" hidden="1">"A32873"</definedName>
    <definedName name="FDD_117_7" hidden="1">"A33238"</definedName>
    <definedName name="FDD_117_8" hidden="1">"A33603"</definedName>
    <definedName name="FDD_117_9" hidden="1">"A33969"</definedName>
    <definedName name="FDD_118_0" hidden="1">"A30681"</definedName>
    <definedName name="FDD_118_1" hidden="1">"A31047"</definedName>
    <definedName name="FDD_118_10" hidden="1">"A34334"</definedName>
    <definedName name="FDD_118_11" hidden="1">"A34699"</definedName>
    <definedName name="FDD_118_12" hidden="1">"A35064"</definedName>
    <definedName name="FDD_118_13" hidden="1">"A35430"</definedName>
    <definedName name="FDD_118_14" hidden="1">"A35795"</definedName>
    <definedName name="FDD_118_2" hidden="1">"A31412"</definedName>
    <definedName name="FDD_118_3" hidden="1">"A31777"</definedName>
    <definedName name="FDD_118_4" hidden="1">"A32142"</definedName>
    <definedName name="FDD_118_5" hidden="1">"A32508"</definedName>
    <definedName name="FDD_118_6" hidden="1">"A32873"</definedName>
    <definedName name="FDD_118_7" hidden="1">"A33238"</definedName>
    <definedName name="FDD_118_8" hidden="1">"A33603"</definedName>
    <definedName name="FDD_118_9" hidden="1">"A33969"</definedName>
    <definedName name="FDD_119_0" hidden="1">"A30681"</definedName>
    <definedName name="FDD_119_1" hidden="1">"A31047"</definedName>
    <definedName name="FDD_119_10" hidden="1">"A34334"</definedName>
    <definedName name="FDD_119_11" hidden="1">"A34699"</definedName>
    <definedName name="FDD_119_12" hidden="1">"A35064"</definedName>
    <definedName name="FDD_119_13" hidden="1">"A35430"</definedName>
    <definedName name="FDD_119_14" hidden="1">"A35795"</definedName>
    <definedName name="FDD_119_2" hidden="1">"A31412"</definedName>
    <definedName name="FDD_119_3" hidden="1">"A31777"</definedName>
    <definedName name="FDD_119_4" hidden="1">"A32142"</definedName>
    <definedName name="FDD_119_5" hidden="1">"A32508"</definedName>
    <definedName name="FDD_119_6" hidden="1">"A32873"</definedName>
    <definedName name="FDD_119_7" hidden="1">"A33238"</definedName>
    <definedName name="FDD_119_8" hidden="1">"A33603"</definedName>
    <definedName name="FDD_119_9" hidden="1">"A33969"</definedName>
    <definedName name="FDD_12_0" hidden="1">"A25569"</definedName>
    <definedName name="FDD_120_0" hidden="1">"A30681"</definedName>
    <definedName name="FDD_120_1" hidden="1">"A31047"</definedName>
    <definedName name="FDD_120_10" hidden="1">"A34334"</definedName>
    <definedName name="FDD_120_11" hidden="1">"A34699"</definedName>
    <definedName name="FDD_120_12" hidden="1">"A35064"</definedName>
    <definedName name="FDD_120_13" hidden="1">"A35430"</definedName>
    <definedName name="FDD_120_14" hidden="1">"A35795"</definedName>
    <definedName name="FDD_120_2" hidden="1">"A31412"</definedName>
    <definedName name="FDD_120_3" hidden="1">"A31777"</definedName>
    <definedName name="FDD_120_4" hidden="1">"A32142"</definedName>
    <definedName name="FDD_120_5" hidden="1">"A32508"</definedName>
    <definedName name="FDD_120_6" hidden="1">"A32873"</definedName>
    <definedName name="FDD_120_7" hidden="1">"A33238"</definedName>
    <definedName name="FDD_120_8" hidden="1">"A33603"</definedName>
    <definedName name="FDD_120_9" hidden="1">"A33969"</definedName>
    <definedName name="FDD_121_0" hidden="1">"A30681"</definedName>
    <definedName name="FDD_121_1" hidden="1">"A31047"</definedName>
    <definedName name="FDD_121_10" hidden="1">"A34334"</definedName>
    <definedName name="FDD_121_11" hidden="1">"A34699"</definedName>
    <definedName name="FDD_121_12" hidden="1">"A35064"</definedName>
    <definedName name="FDD_121_13" hidden="1">"A35430"</definedName>
    <definedName name="FDD_121_14" hidden="1">"A35795"</definedName>
    <definedName name="FDD_121_2" hidden="1">"A31412"</definedName>
    <definedName name="FDD_121_3" hidden="1">"A31777"</definedName>
    <definedName name="FDD_121_4" hidden="1">"A32142"</definedName>
    <definedName name="FDD_121_5" hidden="1">"A32508"</definedName>
    <definedName name="FDD_121_6" hidden="1">"A32873"</definedName>
    <definedName name="FDD_121_7" hidden="1">"A33238"</definedName>
    <definedName name="FDD_121_8" hidden="1">"A33603"</definedName>
    <definedName name="FDD_121_9" hidden="1">"A33969"</definedName>
    <definedName name="FDD_122_0" hidden="1">"A30681"</definedName>
    <definedName name="FDD_122_1" hidden="1">"A31047"</definedName>
    <definedName name="FDD_122_10" hidden="1">"A34334"</definedName>
    <definedName name="FDD_122_11" hidden="1">"A34699"</definedName>
    <definedName name="FDD_122_12" hidden="1">"A35064"</definedName>
    <definedName name="FDD_122_13" hidden="1">"A35430"</definedName>
    <definedName name="FDD_122_14" hidden="1">"A35795"</definedName>
    <definedName name="FDD_122_2" hidden="1">"A31412"</definedName>
    <definedName name="FDD_122_3" hidden="1">"A31777"</definedName>
    <definedName name="FDD_122_4" hidden="1">"A32142"</definedName>
    <definedName name="FDD_122_5" hidden="1">"A32508"</definedName>
    <definedName name="FDD_122_6" hidden="1">"A32873"</definedName>
    <definedName name="FDD_122_7" hidden="1">"A33238"</definedName>
    <definedName name="FDD_122_8" hidden="1">"A33603"</definedName>
    <definedName name="FDD_122_9" hidden="1">"A33969"</definedName>
    <definedName name="FDD_123_0" hidden="1">"A30681"</definedName>
    <definedName name="FDD_123_1" hidden="1">"A31047"</definedName>
    <definedName name="FDD_123_10" hidden="1">"A34334"</definedName>
    <definedName name="FDD_123_11" hidden="1">"A34699"</definedName>
    <definedName name="FDD_123_12" hidden="1">"A35064"</definedName>
    <definedName name="FDD_123_13" hidden="1">"A35430"</definedName>
    <definedName name="FDD_123_14" hidden="1">"A35795"</definedName>
    <definedName name="FDD_123_2" hidden="1">"A31412"</definedName>
    <definedName name="FDD_123_3" hidden="1">"A31777"</definedName>
    <definedName name="FDD_123_4" hidden="1">"A32142"</definedName>
    <definedName name="FDD_123_5" hidden="1">"A32508"</definedName>
    <definedName name="FDD_123_6" hidden="1">"A32873"</definedName>
    <definedName name="FDD_123_7" hidden="1">"A33238"</definedName>
    <definedName name="FDD_123_8" hidden="1">"A33603"</definedName>
    <definedName name="FDD_123_9" hidden="1">"A33969"</definedName>
    <definedName name="FDD_124_0" hidden="1">"A30681"</definedName>
    <definedName name="FDD_124_1" hidden="1">"A31047"</definedName>
    <definedName name="FDD_124_10" hidden="1">"A34334"</definedName>
    <definedName name="FDD_124_11" hidden="1">"A34699"</definedName>
    <definedName name="FDD_124_12" hidden="1">"A35064"</definedName>
    <definedName name="FDD_124_13" hidden="1">"A35430"</definedName>
    <definedName name="FDD_124_14" hidden="1">"A35795"</definedName>
    <definedName name="FDD_124_2" hidden="1">"A31412"</definedName>
    <definedName name="FDD_124_3" hidden="1">"A31777"</definedName>
    <definedName name="FDD_124_4" hidden="1">"A32142"</definedName>
    <definedName name="FDD_124_5" hidden="1">"A32508"</definedName>
    <definedName name="FDD_124_6" hidden="1">"A32873"</definedName>
    <definedName name="FDD_124_7" hidden="1">"A33238"</definedName>
    <definedName name="FDD_124_8" hidden="1">"A33603"</definedName>
    <definedName name="FDD_124_9" hidden="1">"A33969"</definedName>
    <definedName name="FDD_125_0" hidden="1">"A30681"</definedName>
    <definedName name="FDD_125_1" hidden="1">"A31047"</definedName>
    <definedName name="FDD_125_10" hidden="1">"A34334"</definedName>
    <definedName name="FDD_125_11" hidden="1">"A34699"</definedName>
    <definedName name="FDD_125_12" hidden="1">"A35064"</definedName>
    <definedName name="FDD_125_13" hidden="1">"A35430"</definedName>
    <definedName name="FDD_125_14" hidden="1">"A35795"</definedName>
    <definedName name="FDD_125_2" hidden="1">"A31412"</definedName>
    <definedName name="FDD_125_3" hidden="1">"A31777"</definedName>
    <definedName name="FDD_125_4" hidden="1">"A32142"</definedName>
    <definedName name="FDD_125_5" hidden="1">"A32508"</definedName>
    <definedName name="FDD_125_6" hidden="1">"A32873"</definedName>
    <definedName name="FDD_125_7" hidden="1">"A33238"</definedName>
    <definedName name="FDD_125_8" hidden="1">"A33603"</definedName>
    <definedName name="FDD_125_9" hidden="1">"A33969"</definedName>
    <definedName name="FDD_126_0" hidden="1">"A30681"</definedName>
    <definedName name="FDD_126_1" hidden="1">"A31047"</definedName>
    <definedName name="FDD_126_10" hidden="1">"A34334"</definedName>
    <definedName name="FDD_126_11" hidden="1">"A34699"</definedName>
    <definedName name="FDD_126_12" hidden="1">"A35064"</definedName>
    <definedName name="FDD_126_13" hidden="1">"A35430"</definedName>
    <definedName name="FDD_126_14" hidden="1">"A35795"</definedName>
    <definedName name="FDD_126_2" hidden="1">"A31412"</definedName>
    <definedName name="FDD_126_3" hidden="1">"A31777"</definedName>
    <definedName name="FDD_126_4" hidden="1">"A32142"</definedName>
    <definedName name="FDD_126_5" hidden="1">"A32508"</definedName>
    <definedName name="FDD_126_6" hidden="1">"A32873"</definedName>
    <definedName name="FDD_126_7" hidden="1">"A33238"</definedName>
    <definedName name="FDD_126_8" hidden="1">"A33603"</definedName>
    <definedName name="FDD_126_9" hidden="1">"A33969"</definedName>
    <definedName name="FDD_127_0" hidden="1">"A30681"</definedName>
    <definedName name="FDD_127_1" hidden="1">"A31047"</definedName>
    <definedName name="FDD_127_10" hidden="1">"A34334"</definedName>
    <definedName name="FDD_127_11" hidden="1">"A34699"</definedName>
    <definedName name="FDD_127_12" hidden="1">"A35064"</definedName>
    <definedName name="FDD_127_13" hidden="1">"A35430"</definedName>
    <definedName name="FDD_127_14" hidden="1">"A35795"</definedName>
    <definedName name="FDD_127_2" hidden="1">"A31412"</definedName>
    <definedName name="FDD_127_3" hidden="1">"A31777"</definedName>
    <definedName name="FDD_127_4" hidden="1">"A32142"</definedName>
    <definedName name="FDD_127_5" hidden="1">"A32508"</definedName>
    <definedName name="FDD_127_6" hidden="1">"A32873"</definedName>
    <definedName name="FDD_127_7" hidden="1">"A33238"</definedName>
    <definedName name="FDD_127_8" hidden="1">"A33603"</definedName>
    <definedName name="FDD_127_9" hidden="1">"A33969"</definedName>
    <definedName name="FDD_128_0" hidden="1">"A30681"</definedName>
    <definedName name="FDD_128_1" hidden="1">"A31047"</definedName>
    <definedName name="FDD_128_10" hidden="1">"A34334"</definedName>
    <definedName name="FDD_128_11" hidden="1">"A34699"</definedName>
    <definedName name="FDD_128_12" hidden="1">"A35064"</definedName>
    <definedName name="FDD_128_13" hidden="1">"A35430"</definedName>
    <definedName name="FDD_128_14" hidden="1">"A35795"</definedName>
    <definedName name="FDD_128_2" hidden="1">"A31412"</definedName>
    <definedName name="FDD_128_3" hidden="1">"A31777"</definedName>
    <definedName name="FDD_128_4" hidden="1">"A32142"</definedName>
    <definedName name="FDD_128_5" hidden="1">"A32508"</definedName>
    <definedName name="FDD_128_6" hidden="1">"A32873"</definedName>
    <definedName name="FDD_128_7" hidden="1">"A33238"</definedName>
    <definedName name="FDD_128_8" hidden="1">"A33603"</definedName>
    <definedName name="FDD_128_9" hidden="1">"A33969"</definedName>
    <definedName name="FDD_129_0" hidden="1">"A30681"</definedName>
    <definedName name="FDD_129_1" hidden="1">"A31047"</definedName>
    <definedName name="FDD_129_10" hidden="1">"A34334"</definedName>
    <definedName name="FDD_129_11" hidden="1">"A34699"</definedName>
    <definedName name="FDD_129_12" hidden="1">"A35064"</definedName>
    <definedName name="FDD_129_13" hidden="1">"A35430"</definedName>
    <definedName name="FDD_129_14" hidden="1">"A35795"</definedName>
    <definedName name="FDD_129_2" hidden="1">"A31412"</definedName>
    <definedName name="FDD_129_3" hidden="1">"A31777"</definedName>
    <definedName name="FDD_129_4" hidden="1">"A32142"</definedName>
    <definedName name="FDD_129_5" hidden="1">"A32508"</definedName>
    <definedName name="FDD_129_6" hidden="1">"A32873"</definedName>
    <definedName name="FDD_129_7" hidden="1">"A33238"</definedName>
    <definedName name="FDD_129_8" hidden="1">"A33603"</definedName>
    <definedName name="FDD_129_9" hidden="1">"A33969"</definedName>
    <definedName name="FDD_13_0" hidden="1">"A25569"</definedName>
    <definedName name="FDD_130_0" hidden="1">"A30681"</definedName>
    <definedName name="FDD_130_1" hidden="1">"A31047"</definedName>
    <definedName name="FDD_130_10" hidden="1">"A34334"</definedName>
    <definedName name="FDD_130_11" hidden="1">"A34699"</definedName>
    <definedName name="FDD_130_12" hidden="1">"A35064"</definedName>
    <definedName name="FDD_130_13" hidden="1">"A35430"</definedName>
    <definedName name="FDD_130_14" hidden="1">"A35795"</definedName>
    <definedName name="FDD_130_2" hidden="1">"A31412"</definedName>
    <definedName name="FDD_130_3" hidden="1">"A31777"</definedName>
    <definedName name="FDD_130_4" hidden="1">"A32142"</definedName>
    <definedName name="FDD_130_5" hidden="1">"A32508"</definedName>
    <definedName name="FDD_130_6" hidden="1">"A32873"</definedName>
    <definedName name="FDD_130_7" hidden="1">"A33238"</definedName>
    <definedName name="FDD_130_8" hidden="1">"A33603"</definedName>
    <definedName name="FDD_130_9" hidden="1">"A33969"</definedName>
    <definedName name="FDD_131_0" hidden="1">"A30681"</definedName>
    <definedName name="FDD_131_1" hidden="1">"A31047"</definedName>
    <definedName name="FDD_131_10" hidden="1">"A34334"</definedName>
    <definedName name="FDD_131_11" hidden="1">"A34699"</definedName>
    <definedName name="FDD_131_12" hidden="1">"A35064"</definedName>
    <definedName name="FDD_131_13" hidden="1">"A35430"</definedName>
    <definedName name="FDD_131_14" hidden="1">"A35795"</definedName>
    <definedName name="FDD_131_2" hidden="1">"A31412"</definedName>
    <definedName name="FDD_131_3" hidden="1">"A31777"</definedName>
    <definedName name="FDD_131_4" hidden="1">"A32142"</definedName>
    <definedName name="FDD_131_5" hidden="1">"A32508"</definedName>
    <definedName name="FDD_131_6" hidden="1">"A32873"</definedName>
    <definedName name="FDD_131_7" hidden="1">"A33238"</definedName>
    <definedName name="FDD_131_8" hidden="1">"A33603"</definedName>
    <definedName name="FDD_131_9" hidden="1">"A33969"</definedName>
    <definedName name="FDD_132_0" hidden="1">"U30681"</definedName>
    <definedName name="FDD_132_1" hidden="1">"U31047"</definedName>
    <definedName name="FDD_132_10" hidden="1">"U34334"</definedName>
    <definedName name="FDD_132_11" hidden="1">"U34699"</definedName>
    <definedName name="FDD_132_12" hidden="1">"U35064"</definedName>
    <definedName name="FDD_132_13" hidden="1">"U35430"</definedName>
    <definedName name="FDD_132_14" hidden="1">"U35795"</definedName>
    <definedName name="FDD_132_2" hidden="1">"U31412"</definedName>
    <definedName name="FDD_132_3" hidden="1">"U31777"</definedName>
    <definedName name="FDD_132_4" hidden="1">"U32142"</definedName>
    <definedName name="FDD_132_5" hidden="1">"U32508"</definedName>
    <definedName name="FDD_132_6" hidden="1">"U32873"</definedName>
    <definedName name="FDD_132_7" hidden="1">"U33238"</definedName>
    <definedName name="FDD_132_8" hidden="1">"U33603"</definedName>
    <definedName name="FDD_132_9" hidden="1">"U33969"</definedName>
    <definedName name="FDD_133_0" hidden="1">"A30681"</definedName>
    <definedName name="FDD_133_1" hidden="1">"A31047"</definedName>
    <definedName name="FDD_133_10" hidden="1">"A34334"</definedName>
    <definedName name="FDD_133_11" hidden="1">"A34699"</definedName>
    <definedName name="FDD_133_12" hidden="1">"A35064"</definedName>
    <definedName name="FDD_133_13" hidden="1">"A35430"</definedName>
    <definedName name="FDD_133_14" hidden="1">"A35795"</definedName>
    <definedName name="FDD_133_2" hidden="1">"A31412"</definedName>
    <definedName name="FDD_133_3" hidden="1">"A31777"</definedName>
    <definedName name="FDD_133_4" hidden="1">"A32142"</definedName>
    <definedName name="FDD_133_5" hidden="1">"A32508"</definedName>
    <definedName name="FDD_133_6" hidden="1">"A32873"</definedName>
    <definedName name="FDD_133_7" hidden="1">"A33238"</definedName>
    <definedName name="FDD_133_8" hidden="1">"A33603"</definedName>
    <definedName name="FDD_133_9" hidden="1">"A33969"</definedName>
    <definedName name="FDD_134_0" hidden="1">"A30681"</definedName>
    <definedName name="FDD_134_1" hidden="1">"A31047"</definedName>
    <definedName name="FDD_134_10" hidden="1">"A34334"</definedName>
    <definedName name="FDD_134_11" hidden="1">"A34699"</definedName>
    <definedName name="FDD_134_12" hidden="1">"A35064"</definedName>
    <definedName name="FDD_134_13" hidden="1">"A35430"</definedName>
    <definedName name="FDD_134_14" hidden="1">"A35795"</definedName>
    <definedName name="FDD_134_2" hidden="1">"A31412"</definedName>
    <definedName name="FDD_134_3" hidden="1">"A31777"</definedName>
    <definedName name="FDD_134_4" hidden="1">"A32142"</definedName>
    <definedName name="FDD_134_5" hidden="1">"A32508"</definedName>
    <definedName name="FDD_134_6" hidden="1">"A32873"</definedName>
    <definedName name="FDD_134_7" hidden="1">"A33238"</definedName>
    <definedName name="FDD_134_8" hidden="1">"A33603"</definedName>
    <definedName name="FDD_134_9" hidden="1">"A33969"</definedName>
    <definedName name="FDD_135_0" hidden="1">"A30681"</definedName>
    <definedName name="FDD_135_1" hidden="1">"A31047"</definedName>
    <definedName name="FDD_135_10" hidden="1">"A34334"</definedName>
    <definedName name="FDD_135_11" hidden="1">"A34699"</definedName>
    <definedName name="FDD_135_12" hidden="1">"A35064"</definedName>
    <definedName name="FDD_135_13" hidden="1">"A35430"</definedName>
    <definedName name="FDD_135_14" hidden="1">"A35795"</definedName>
    <definedName name="FDD_135_2" hidden="1">"A31412"</definedName>
    <definedName name="FDD_135_3" hidden="1">"A31777"</definedName>
    <definedName name="FDD_135_4" hidden="1">"A32142"</definedName>
    <definedName name="FDD_135_5" hidden="1">"A32508"</definedName>
    <definedName name="FDD_135_6" hidden="1">"A32873"</definedName>
    <definedName name="FDD_135_7" hidden="1">"A33238"</definedName>
    <definedName name="FDD_135_8" hidden="1">"A33603"</definedName>
    <definedName name="FDD_135_9" hidden="1">"A33969"</definedName>
    <definedName name="FDD_136_0" hidden="1">"A30681"</definedName>
    <definedName name="FDD_136_1" hidden="1">"A31047"</definedName>
    <definedName name="FDD_136_10" hidden="1">"A34334"</definedName>
    <definedName name="FDD_136_11" hidden="1">"A34699"</definedName>
    <definedName name="FDD_136_12" hidden="1">"A35064"</definedName>
    <definedName name="FDD_136_13" hidden="1">"A35430"</definedName>
    <definedName name="FDD_136_14" hidden="1">"A35795"</definedName>
    <definedName name="FDD_136_2" hidden="1">"A31412"</definedName>
    <definedName name="FDD_136_3" hidden="1">"A31777"</definedName>
    <definedName name="FDD_136_4" hidden="1">"A32142"</definedName>
    <definedName name="FDD_136_5" hidden="1">"A32508"</definedName>
    <definedName name="FDD_136_6" hidden="1">"A32873"</definedName>
    <definedName name="FDD_136_7" hidden="1">"A33238"</definedName>
    <definedName name="FDD_136_8" hidden="1">"A33603"</definedName>
    <definedName name="FDD_136_9" hidden="1">"A33969"</definedName>
    <definedName name="FDD_137_0" hidden="1">"A30681"</definedName>
    <definedName name="FDD_137_1" hidden="1">"A31047"</definedName>
    <definedName name="FDD_137_10" hidden="1">"A34334"</definedName>
    <definedName name="FDD_137_11" hidden="1">"A34699"</definedName>
    <definedName name="FDD_137_12" hidden="1">"A35064"</definedName>
    <definedName name="FDD_137_13" hidden="1">"A35430"</definedName>
    <definedName name="FDD_137_14" hidden="1">"A35795"</definedName>
    <definedName name="FDD_137_2" hidden="1">"A31412"</definedName>
    <definedName name="FDD_137_3" hidden="1">"A31777"</definedName>
    <definedName name="FDD_137_4" hidden="1">"A32142"</definedName>
    <definedName name="FDD_137_5" hidden="1">"A32508"</definedName>
    <definedName name="FDD_137_6" hidden="1">"A32873"</definedName>
    <definedName name="FDD_137_7" hidden="1">"A33238"</definedName>
    <definedName name="FDD_137_8" hidden="1">"A33603"</definedName>
    <definedName name="FDD_137_9" hidden="1">"A33969"</definedName>
    <definedName name="FDD_138_0" hidden="1">"A30681"</definedName>
    <definedName name="FDD_138_1" hidden="1">"A31047"</definedName>
    <definedName name="FDD_138_10" hidden="1">"A34334"</definedName>
    <definedName name="FDD_138_11" hidden="1">"A34699"</definedName>
    <definedName name="FDD_138_12" hidden="1">"A35064"</definedName>
    <definedName name="FDD_138_13" hidden="1">"A35430"</definedName>
    <definedName name="FDD_138_14" hidden="1">"A35795"</definedName>
    <definedName name="FDD_138_2" hidden="1">"A31412"</definedName>
    <definedName name="FDD_138_3" hidden="1">"A31777"</definedName>
    <definedName name="FDD_138_4" hidden="1">"A32142"</definedName>
    <definedName name="FDD_138_5" hidden="1">"A32508"</definedName>
    <definedName name="FDD_138_6" hidden="1">"A32873"</definedName>
    <definedName name="FDD_138_7" hidden="1">"A33238"</definedName>
    <definedName name="FDD_138_8" hidden="1">"A33603"</definedName>
    <definedName name="FDD_138_9" hidden="1">"A33969"</definedName>
    <definedName name="FDD_139_0" hidden="1">"A30681"</definedName>
    <definedName name="FDD_139_1" hidden="1">"A31047"</definedName>
    <definedName name="FDD_139_10" hidden="1">"U34334"</definedName>
    <definedName name="FDD_139_11" hidden="1">"U34699"</definedName>
    <definedName name="FDD_139_12" hidden="1">"U35064"</definedName>
    <definedName name="FDD_139_13" hidden="1">"U35430"</definedName>
    <definedName name="FDD_139_14" hidden="1">"U35795"</definedName>
    <definedName name="FDD_139_2" hidden="1">"A31412"</definedName>
    <definedName name="FDD_139_3" hidden="1">"U31777"</definedName>
    <definedName name="FDD_139_4" hidden="1">"U32142"</definedName>
    <definedName name="FDD_139_5" hidden="1">"U32508"</definedName>
    <definedName name="FDD_139_6" hidden="1">"U32873"</definedName>
    <definedName name="FDD_139_7" hidden="1">"U33238"</definedName>
    <definedName name="FDD_139_8" hidden="1">"U33603"</definedName>
    <definedName name="FDD_139_9" hidden="1">"U33969"</definedName>
    <definedName name="FDD_14_0" hidden="1">"A25569"</definedName>
    <definedName name="FDD_140_0" hidden="1">"A25569"</definedName>
    <definedName name="FDD_141_0" hidden="1">"A30681"</definedName>
    <definedName name="FDD_141_1" hidden="1">"A31047"</definedName>
    <definedName name="FDD_141_10" hidden="1">"A34334"</definedName>
    <definedName name="FDD_141_11" hidden="1">"A34699"</definedName>
    <definedName name="FDD_141_12" hidden="1">"A35064"</definedName>
    <definedName name="FDD_141_13" hidden="1">"A35430"</definedName>
    <definedName name="FDD_141_14" hidden="1">"A35795"</definedName>
    <definedName name="FDD_141_2" hidden="1">"A31412"</definedName>
    <definedName name="FDD_141_3" hidden="1">"A31777"</definedName>
    <definedName name="FDD_141_4" hidden="1">"A32142"</definedName>
    <definedName name="FDD_141_5" hidden="1">"A32508"</definedName>
    <definedName name="FDD_141_6" hidden="1">"A32873"</definedName>
    <definedName name="FDD_141_7" hidden="1">"A33238"</definedName>
    <definedName name="FDD_141_8" hidden="1">"A33603"</definedName>
    <definedName name="FDD_141_9" hidden="1">"A33969"</definedName>
    <definedName name="FDD_142_0" hidden="1">"A30681"</definedName>
    <definedName name="FDD_142_1" hidden="1">"A31047"</definedName>
    <definedName name="FDD_142_10" hidden="1">"A34334"</definedName>
    <definedName name="FDD_142_11" hidden="1">"A34699"</definedName>
    <definedName name="FDD_142_12" hidden="1">"A35064"</definedName>
    <definedName name="FDD_142_13" hidden="1">"A35430"</definedName>
    <definedName name="FDD_142_14" hidden="1">"A35795"</definedName>
    <definedName name="FDD_142_2" hidden="1">"A31412"</definedName>
    <definedName name="FDD_142_3" hidden="1">"A31777"</definedName>
    <definedName name="FDD_142_4" hidden="1">"A32142"</definedName>
    <definedName name="FDD_142_5" hidden="1">"A32508"</definedName>
    <definedName name="FDD_142_6" hidden="1">"A32873"</definedName>
    <definedName name="FDD_142_7" hidden="1">"A33238"</definedName>
    <definedName name="FDD_142_8" hidden="1">"A33603"</definedName>
    <definedName name="FDD_142_9" hidden="1">"A33969"</definedName>
    <definedName name="FDD_143_0" hidden="1">"A30681"</definedName>
    <definedName name="FDD_143_1" hidden="1">"A31047"</definedName>
    <definedName name="FDD_143_10" hidden="1">"A34334"</definedName>
    <definedName name="FDD_143_11" hidden="1">"A34699"</definedName>
    <definedName name="FDD_143_12" hidden="1">"A35064"</definedName>
    <definedName name="FDD_143_13" hidden="1">"A35430"</definedName>
    <definedName name="FDD_143_14" hidden="1">"A35795"</definedName>
    <definedName name="FDD_143_2" hidden="1">"A31412"</definedName>
    <definedName name="FDD_143_3" hidden="1">"A31777"</definedName>
    <definedName name="FDD_143_4" hidden="1">"A32142"</definedName>
    <definedName name="FDD_143_5" hidden="1">"A32508"</definedName>
    <definedName name="FDD_143_6" hidden="1">"A32873"</definedName>
    <definedName name="FDD_143_7" hidden="1">"A33238"</definedName>
    <definedName name="FDD_143_8" hidden="1">"A33603"</definedName>
    <definedName name="FDD_143_9" hidden="1">"A33969"</definedName>
    <definedName name="FDD_144_0" hidden="1">"A30681"</definedName>
    <definedName name="FDD_144_1" hidden="1">"A31047"</definedName>
    <definedName name="FDD_144_10" hidden="1">"A34334"</definedName>
    <definedName name="FDD_144_11" hidden="1">"A34699"</definedName>
    <definedName name="FDD_144_12" hidden="1">"A35064"</definedName>
    <definedName name="FDD_144_13" hidden="1">"A35430"</definedName>
    <definedName name="FDD_144_14" hidden="1">"A35795"</definedName>
    <definedName name="FDD_144_2" hidden="1">"A31412"</definedName>
    <definedName name="FDD_144_3" hidden="1">"A31777"</definedName>
    <definedName name="FDD_144_4" hidden="1">"A32142"</definedName>
    <definedName name="FDD_144_5" hidden="1">"A32508"</definedName>
    <definedName name="FDD_144_6" hidden="1">"A32873"</definedName>
    <definedName name="FDD_144_7" hidden="1">"A33238"</definedName>
    <definedName name="FDD_144_8" hidden="1">"A33603"</definedName>
    <definedName name="FDD_144_9" hidden="1">"A33969"</definedName>
    <definedName name="FDD_145_0" hidden="1">"A30681"</definedName>
    <definedName name="FDD_145_1" hidden="1">"A31047"</definedName>
    <definedName name="FDD_145_10" hidden="1">"A34334"</definedName>
    <definedName name="FDD_145_11" hidden="1">"A34699"</definedName>
    <definedName name="FDD_145_12" hidden="1">"A35064"</definedName>
    <definedName name="FDD_145_13" hidden="1">"A35430"</definedName>
    <definedName name="FDD_145_14" hidden="1">"A35795"</definedName>
    <definedName name="FDD_145_2" hidden="1">"A31412"</definedName>
    <definedName name="FDD_145_3" hidden="1">"A31777"</definedName>
    <definedName name="FDD_145_4" hidden="1">"A32142"</definedName>
    <definedName name="FDD_145_5" hidden="1">"A32508"</definedName>
    <definedName name="FDD_145_6" hidden="1">"A32873"</definedName>
    <definedName name="FDD_145_7" hidden="1">"A33238"</definedName>
    <definedName name="FDD_145_8" hidden="1">"A33603"</definedName>
    <definedName name="FDD_145_9" hidden="1">"A33969"</definedName>
    <definedName name="FDD_146_0" hidden="1">"A30681"</definedName>
    <definedName name="FDD_146_1" hidden="1">"A31047"</definedName>
    <definedName name="FDD_146_10" hidden="1">"A34334"</definedName>
    <definedName name="FDD_146_11" hidden="1">"A34699"</definedName>
    <definedName name="FDD_146_12" hidden="1">"A35064"</definedName>
    <definedName name="FDD_146_13" hidden="1">"A35430"</definedName>
    <definedName name="FDD_146_14" hidden="1">"A35795"</definedName>
    <definedName name="FDD_146_2" hidden="1">"A31412"</definedName>
    <definedName name="FDD_146_3" hidden="1">"A31777"</definedName>
    <definedName name="FDD_146_4" hidden="1">"A32142"</definedName>
    <definedName name="FDD_146_5" hidden="1">"A32508"</definedName>
    <definedName name="FDD_146_6" hidden="1">"A32873"</definedName>
    <definedName name="FDD_146_7" hidden="1">"A33238"</definedName>
    <definedName name="FDD_146_8" hidden="1">"A33603"</definedName>
    <definedName name="FDD_146_9" hidden="1">"A33969"</definedName>
    <definedName name="FDD_147_0" hidden="1">"U30681"</definedName>
    <definedName name="FDD_147_1" hidden="1">"U31047"</definedName>
    <definedName name="FDD_147_10" hidden="1">"U34334"</definedName>
    <definedName name="FDD_147_11" hidden="1">"U34699"</definedName>
    <definedName name="FDD_147_12" hidden="1">"U35064"</definedName>
    <definedName name="FDD_147_13" hidden="1">"U35430"</definedName>
    <definedName name="FDD_147_14" hidden="1">"U35795"</definedName>
    <definedName name="FDD_147_2" hidden="1">"U31412"</definedName>
    <definedName name="FDD_147_3" hidden="1">"U31777"</definedName>
    <definedName name="FDD_147_4" hidden="1">"U32142"</definedName>
    <definedName name="FDD_147_5" hidden="1">"U32508"</definedName>
    <definedName name="FDD_147_6" hidden="1">"U32873"</definedName>
    <definedName name="FDD_147_7" hidden="1">"U33238"</definedName>
    <definedName name="FDD_147_8" hidden="1">"U33603"</definedName>
    <definedName name="FDD_147_9" hidden="1">"U33969"</definedName>
    <definedName name="FDD_148_0" hidden="1">"A30681"</definedName>
    <definedName name="FDD_148_1" hidden="1">"A31047"</definedName>
    <definedName name="FDD_148_10" hidden="1">"A34334"</definedName>
    <definedName name="FDD_148_11" hidden="1">"A34699"</definedName>
    <definedName name="FDD_148_12" hidden="1">"A35064"</definedName>
    <definedName name="FDD_148_13" hidden="1">"A35430"</definedName>
    <definedName name="FDD_148_14" hidden="1">"A35795"</definedName>
    <definedName name="FDD_148_2" hidden="1">"A31412"</definedName>
    <definedName name="FDD_148_3" hidden="1">"A31777"</definedName>
    <definedName name="FDD_148_4" hidden="1">"A32142"</definedName>
    <definedName name="FDD_148_5" hidden="1">"A32508"</definedName>
    <definedName name="FDD_148_6" hidden="1">"A32873"</definedName>
    <definedName name="FDD_148_7" hidden="1">"A33238"</definedName>
    <definedName name="FDD_148_8" hidden="1">"A33603"</definedName>
    <definedName name="FDD_148_9" hidden="1">"A33969"</definedName>
    <definedName name="FDD_149_0" hidden="1">"U30681"</definedName>
    <definedName name="FDD_149_1" hidden="1">"U31047"</definedName>
    <definedName name="FDD_149_10" hidden="1">"U34334"</definedName>
    <definedName name="FDD_149_11" hidden="1">"U34699"</definedName>
    <definedName name="FDD_149_12" hidden="1">"U35064"</definedName>
    <definedName name="FDD_149_13" hidden="1">"U35430"</definedName>
    <definedName name="FDD_149_14" hidden="1">"A35795"</definedName>
    <definedName name="FDD_149_2" hidden="1">"U31412"</definedName>
    <definedName name="FDD_149_3" hidden="1">"U31777"</definedName>
    <definedName name="FDD_149_4" hidden="1">"U32142"</definedName>
    <definedName name="FDD_149_5" hidden="1">"U32508"</definedName>
    <definedName name="FDD_149_6" hidden="1">"U32873"</definedName>
    <definedName name="FDD_149_7" hidden="1">"U33238"</definedName>
    <definedName name="FDD_149_8" hidden="1">"U33603"</definedName>
    <definedName name="FDD_149_9" hidden="1">"U33969"</definedName>
    <definedName name="FDD_15_0" hidden="1">"A25569"</definedName>
    <definedName name="FDD_151_0" hidden="1">"A30681"</definedName>
    <definedName name="FDD_151_1" hidden="1">"A31047"</definedName>
    <definedName name="FDD_151_10" hidden="1">"A34334"</definedName>
    <definedName name="FDD_151_11" hidden="1">"A34699"</definedName>
    <definedName name="FDD_151_12" hidden="1">"A35064"</definedName>
    <definedName name="FDD_151_13" hidden="1">"A35430"</definedName>
    <definedName name="FDD_151_14" hidden="1">"A35795"</definedName>
    <definedName name="FDD_151_2" hidden="1">"A31412"</definedName>
    <definedName name="FDD_151_3" hidden="1">"A31777"</definedName>
    <definedName name="FDD_151_4" hidden="1">"A32142"</definedName>
    <definedName name="FDD_151_5" hidden="1">"A32508"</definedName>
    <definedName name="FDD_151_6" hidden="1">"A32873"</definedName>
    <definedName name="FDD_151_7" hidden="1">"A33238"</definedName>
    <definedName name="FDD_151_8" hidden="1">"A33603"</definedName>
    <definedName name="FDD_151_9" hidden="1">"A33969"</definedName>
    <definedName name="FDD_152_0" hidden="1">"A30681"</definedName>
    <definedName name="FDD_152_1" hidden="1">"A31047"</definedName>
    <definedName name="FDD_152_10" hidden="1">"A34334"</definedName>
    <definedName name="FDD_152_11" hidden="1">"A34699"</definedName>
    <definedName name="FDD_152_12" hidden="1">"A35064"</definedName>
    <definedName name="FDD_152_13" hidden="1">"A35430"</definedName>
    <definedName name="FDD_152_14" hidden="1">"A35795"</definedName>
    <definedName name="FDD_152_15" hidden="1">"E36160"</definedName>
    <definedName name="FDD_152_2" hidden="1">"A31412"</definedName>
    <definedName name="FDD_152_3" hidden="1">"A31777"</definedName>
    <definedName name="FDD_152_4" hidden="1">"A32142"</definedName>
    <definedName name="FDD_152_5" hidden="1">"A32508"</definedName>
    <definedName name="FDD_152_6" hidden="1">"A32873"</definedName>
    <definedName name="FDD_152_7" hidden="1">"A33238"</definedName>
    <definedName name="FDD_152_8" hidden="1">"A33603"</definedName>
    <definedName name="FDD_152_9" hidden="1">"A33969"</definedName>
    <definedName name="FDD_153_0" hidden="1">"A30681"</definedName>
    <definedName name="FDD_153_1" hidden="1">"A31047"</definedName>
    <definedName name="FDD_153_10" hidden="1">"A34334"</definedName>
    <definedName name="FDD_153_11" hidden="1">"A34699"</definedName>
    <definedName name="FDD_153_12" hidden="1">"A35064"</definedName>
    <definedName name="FDD_153_13" hidden="1">"A35430"</definedName>
    <definedName name="FDD_153_14" hidden="1">"A35795"</definedName>
    <definedName name="FDD_153_2" hidden="1">"A31412"</definedName>
    <definedName name="FDD_153_3" hidden="1">"A31777"</definedName>
    <definedName name="FDD_153_4" hidden="1">"A32142"</definedName>
    <definedName name="FDD_153_5" hidden="1">"A32508"</definedName>
    <definedName name="FDD_153_6" hidden="1">"A32873"</definedName>
    <definedName name="FDD_153_7" hidden="1">"A33238"</definedName>
    <definedName name="FDD_153_8" hidden="1">"A33603"</definedName>
    <definedName name="FDD_153_9" hidden="1">"A33969"</definedName>
    <definedName name="FDD_154_0" hidden="1">"A30681"</definedName>
    <definedName name="FDD_154_1" hidden="1">"A31047"</definedName>
    <definedName name="FDD_154_10" hidden="1">"A34334"</definedName>
    <definedName name="FDD_154_11" hidden="1">"A34699"</definedName>
    <definedName name="FDD_154_12" hidden="1">"A35064"</definedName>
    <definedName name="FDD_154_13" hidden="1">"A35430"</definedName>
    <definedName name="FDD_154_14" hidden="1">"A35795"</definedName>
    <definedName name="FDD_154_2" hidden="1">"A31412"</definedName>
    <definedName name="FDD_154_3" hidden="1">"A31777"</definedName>
    <definedName name="FDD_154_4" hidden="1">"A32142"</definedName>
    <definedName name="FDD_154_5" hidden="1">"A32508"</definedName>
    <definedName name="FDD_154_6" hidden="1">"A32873"</definedName>
    <definedName name="FDD_154_7" hidden="1">"A33238"</definedName>
    <definedName name="FDD_154_8" hidden="1">"A33603"</definedName>
    <definedName name="FDD_154_9" hidden="1">"A33969"</definedName>
    <definedName name="FDD_155_0" hidden="1">"A25569"</definedName>
    <definedName name="FDD_156_0" hidden="1">"A30681"</definedName>
    <definedName name="FDD_156_1" hidden="1">"A31047"</definedName>
    <definedName name="FDD_156_10" hidden="1">"A34334"</definedName>
    <definedName name="FDD_156_11" hidden="1">"A34699"</definedName>
    <definedName name="FDD_156_12" hidden="1">"A35064"</definedName>
    <definedName name="FDD_156_13" hidden="1">"A35430"</definedName>
    <definedName name="FDD_156_14" hidden="1">"A35795"</definedName>
    <definedName name="FDD_156_15" hidden="1">"E36160"</definedName>
    <definedName name="FDD_156_2" hidden="1">"A31412"</definedName>
    <definedName name="FDD_156_3" hidden="1">"A31777"</definedName>
    <definedName name="FDD_156_4" hidden="1">"A32142"</definedName>
    <definedName name="FDD_156_5" hidden="1">"A32508"</definedName>
    <definedName name="FDD_156_6" hidden="1">"A32873"</definedName>
    <definedName name="FDD_156_7" hidden="1">"A33238"</definedName>
    <definedName name="FDD_156_8" hidden="1">"A33603"</definedName>
    <definedName name="FDD_156_9" hidden="1">"A33969"</definedName>
    <definedName name="FDD_157_0" hidden="1">"A30681"</definedName>
    <definedName name="FDD_157_1" hidden="1">"A31047"</definedName>
    <definedName name="FDD_157_10" hidden="1">"A34334"</definedName>
    <definedName name="FDD_157_11" hidden="1">"A34699"</definedName>
    <definedName name="FDD_157_12" hidden="1">"A35064"</definedName>
    <definedName name="FDD_157_13" hidden="1">"A35430"</definedName>
    <definedName name="FDD_157_14" hidden="1">"A35795"</definedName>
    <definedName name="FDD_157_2" hidden="1">"A31412"</definedName>
    <definedName name="FDD_157_3" hidden="1">"A31777"</definedName>
    <definedName name="FDD_157_4" hidden="1">"A32142"</definedName>
    <definedName name="FDD_157_5" hidden="1">"A32508"</definedName>
    <definedName name="FDD_157_6" hidden="1">"A32873"</definedName>
    <definedName name="FDD_157_7" hidden="1">"A33238"</definedName>
    <definedName name="FDD_157_8" hidden="1">"A33603"</definedName>
    <definedName name="FDD_157_9" hidden="1">"A33969"</definedName>
    <definedName name="FDD_158_0" hidden="1">"A30681"</definedName>
    <definedName name="FDD_158_1" hidden="1">"A31047"</definedName>
    <definedName name="FDD_158_10" hidden="1">"A34334"</definedName>
    <definedName name="FDD_158_11" hidden="1">"A34699"</definedName>
    <definedName name="FDD_158_12" hidden="1">"A35064"</definedName>
    <definedName name="FDD_158_13" hidden="1">"A35430"</definedName>
    <definedName name="FDD_158_14" hidden="1">"A35795"</definedName>
    <definedName name="FDD_158_15" hidden="1">"E36160"</definedName>
    <definedName name="FDD_158_2" hidden="1">"A31412"</definedName>
    <definedName name="FDD_158_3" hidden="1">"A31777"</definedName>
    <definedName name="FDD_158_4" hidden="1">"A32142"</definedName>
    <definedName name="FDD_158_5" hidden="1">"A32508"</definedName>
    <definedName name="FDD_158_6" hidden="1">"A32873"</definedName>
    <definedName name="FDD_158_7" hidden="1">"A33238"</definedName>
    <definedName name="FDD_158_8" hidden="1">"A33603"</definedName>
    <definedName name="FDD_158_9" hidden="1">"A33969"</definedName>
    <definedName name="FDD_159_0" hidden="1">"A30681"</definedName>
    <definedName name="FDD_159_1" hidden="1">"A31047"</definedName>
    <definedName name="FDD_159_10" hidden="1">"A34334"</definedName>
    <definedName name="FDD_159_11" hidden="1">"A34699"</definedName>
    <definedName name="FDD_159_12" hidden="1">"A35064"</definedName>
    <definedName name="FDD_159_13" hidden="1">"A35430"</definedName>
    <definedName name="FDD_159_14" hidden="1">"A35795"</definedName>
    <definedName name="FDD_159_2" hidden="1">"A31412"</definedName>
    <definedName name="FDD_159_3" hidden="1">"A31777"</definedName>
    <definedName name="FDD_159_4" hidden="1">"A32142"</definedName>
    <definedName name="FDD_159_5" hidden="1">"A32508"</definedName>
    <definedName name="FDD_159_6" hidden="1">"A32873"</definedName>
    <definedName name="FDD_159_7" hidden="1">"A33238"</definedName>
    <definedName name="FDD_159_8" hidden="1">"A33603"</definedName>
    <definedName name="FDD_159_9" hidden="1">"A33969"</definedName>
    <definedName name="FDD_16_0" hidden="1">"A25569"</definedName>
    <definedName name="FDD_160_0" hidden="1">"A30681"</definedName>
    <definedName name="FDD_160_1" hidden="1">"A31047"</definedName>
    <definedName name="FDD_160_10" hidden="1">"A34334"</definedName>
    <definedName name="FDD_160_11" hidden="1">"A34699"</definedName>
    <definedName name="FDD_160_12" hidden="1">"A35064"</definedName>
    <definedName name="FDD_160_13" hidden="1">"A35430"</definedName>
    <definedName name="FDD_160_14" hidden="1">"A35795"</definedName>
    <definedName name="FDD_160_15" hidden="1">"E36160"</definedName>
    <definedName name="FDD_160_2" hidden="1">"A31412"</definedName>
    <definedName name="FDD_160_3" hidden="1">"A31777"</definedName>
    <definedName name="FDD_160_4" hidden="1">"A32142"</definedName>
    <definedName name="FDD_160_5" hidden="1">"A32508"</definedName>
    <definedName name="FDD_160_6" hidden="1">"A32873"</definedName>
    <definedName name="FDD_160_7" hidden="1">"A33238"</definedName>
    <definedName name="FDD_160_8" hidden="1">"A33603"</definedName>
    <definedName name="FDD_160_9" hidden="1">"A33969"</definedName>
    <definedName name="FDD_161_0" hidden="1">"A30681"</definedName>
    <definedName name="FDD_161_1" hidden="1">"A31047"</definedName>
    <definedName name="FDD_161_10" hidden="1">"A34334"</definedName>
    <definedName name="FDD_161_11" hidden="1">"A34699"</definedName>
    <definedName name="FDD_161_12" hidden="1">"A35064"</definedName>
    <definedName name="FDD_161_13" hidden="1">"A35430"</definedName>
    <definedName name="FDD_161_14" hidden="1">"A35795"</definedName>
    <definedName name="FDD_161_2" hidden="1">"A31412"</definedName>
    <definedName name="FDD_161_3" hidden="1">"A31777"</definedName>
    <definedName name="FDD_161_4" hidden="1">"A32142"</definedName>
    <definedName name="FDD_161_5" hidden="1">"A32508"</definedName>
    <definedName name="FDD_161_6" hidden="1">"A32873"</definedName>
    <definedName name="FDD_161_7" hidden="1">"A33238"</definedName>
    <definedName name="FDD_161_8" hidden="1">"A33603"</definedName>
    <definedName name="FDD_161_9" hidden="1">"A33969"</definedName>
    <definedName name="FDD_162_0" hidden="1">"A30681"</definedName>
    <definedName name="FDD_162_1" hidden="1">"A31047"</definedName>
    <definedName name="FDD_162_10" hidden="1">"A34334"</definedName>
    <definedName name="FDD_162_11" hidden="1">"A34699"</definedName>
    <definedName name="FDD_162_12" hidden="1">"A35064"</definedName>
    <definedName name="FDD_162_13" hidden="1">"A35430"</definedName>
    <definedName name="FDD_162_14" hidden="1">"A35795"</definedName>
    <definedName name="FDD_162_2" hidden="1">"A31412"</definedName>
    <definedName name="FDD_162_3" hidden="1">"A31777"</definedName>
    <definedName name="FDD_162_4" hidden="1">"A32142"</definedName>
    <definedName name="FDD_162_5" hidden="1">"A32508"</definedName>
    <definedName name="FDD_162_6" hidden="1">"A32873"</definedName>
    <definedName name="FDD_162_7" hidden="1">"A33238"</definedName>
    <definedName name="FDD_162_8" hidden="1">"A33603"</definedName>
    <definedName name="FDD_162_9" hidden="1">"A33969"</definedName>
    <definedName name="FDD_163_0" hidden="1">"A30681"</definedName>
    <definedName name="FDD_163_1" hidden="1">"A31047"</definedName>
    <definedName name="FDD_163_10" hidden="1">"A34334"</definedName>
    <definedName name="FDD_163_11" hidden="1">"A34699"</definedName>
    <definedName name="FDD_163_12" hidden="1">"A35064"</definedName>
    <definedName name="FDD_163_13" hidden="1">"A35430"</definedName>
    <definedName name="FDD_163_14" hidden="1">"A35795"</definedName>
    <definedName name="FDD_163_2" hidden="1">"A31412"</definedName>
    <definedName name="FDD_163_3" hidden="1">"A31777"</definedName>
    <definedName name="FDD_163_4" hidden="1">"A32142"</definedName>
    <definedName name="FDD_163_5" hidden="1">"A32508"</definedName>
    <definedName name="FDD_163_6" hidden="1">"A32873"</definedName>
    <definedName name="FDD_163_7" hidden="1">"A33238"</definedName>
    <definedName name="FDD_163_8" hidden="1">"A33603"</definedName>
    <definedName name="FDD_163_9" hidden="1">"A33969"</definedName>
    <definedName name="FDD_164_0" hidden="1">"A25569"</definedName>
    <definedName name="FDD_165_0" hidden="1">"A30681"</definedName>
    <definedName name="FDD_165_1" hidden="1">"A31047"</definedName>
    <definedName name="FDD_165_10" hidden="1">"A34334"</definedName>
    <definedName name="FDD_165_11" hidden="1">"A34699"</definedName>
    <definedName name="FDD_165_12" hidden="1">"A35064"</definedName>
    <definedName name="FDD_165_13" hidden="1">"A35430"</definedName>
    <definedName name="FDD_165_14" hidden="1">"A35795"</definedName>
    <definedName name="FDD_165_2" hidden="1">"A31412"</definedName>
    <definedName name="FDD_165_3" hidden="1">"A31777"</definedName>
    <definedName name="FDD_165_4" hidden="1">"A32142"</definedName>
    <definedName name="FDD_165_5" hidden="1">"A32508"</definedName>
    <definedName name="FDD_165_6" hidden="1">"A32873"</definedName>
    <definedName name="FDD_165_7" hidden="1">"A33238"</definedName>
    <definedName name="FDD_165_8" hidden="1">"A33603"</definedName>
    <definedName name="FDD_165_9" hidden="1">"A33969"</definedName>
    <definedName name="FDD_166_0" hidden="1">"A30681"</definedName>
    <definedName name="FDD_166_1" hidden="1">"A31047"</definedName>
    <definedName name="FDD_166_10" hidden="1">"A34334"</definedName>
    <definedName name="FDD_166_11" hidden="1">"A34699"</definedName>
    <definedName name="FDD_166_12" hidden="1">"A35064"</definedName>
    <definedName name="FDD_166_13" hidden="1">"A35430"</definedName>
    <definedName name="FDD_166_14" hidden="1">"A35795"</definedName>
    <definedName name="FDD_166_2" hidden="1">"A31412"</definedName>
    <definedName name="FDD_166_3" hidden="1">"A31777"</definedName>
    <definedName name="FDD_166_4" hidden="1">"A32142"</definedName>
    <definedName name="FDD_166_5" hidden="1">"A32508"</definedName>
    <definedName name="FDD_166_6" hidden="1">"A32873"</definedName>
    <definedName name="FDD_166_7" hidden="1">"A33238"</definedName>
    <definedName name="FDD_166_8" hidden="1">"A33603"</definedName>
    <definedName name="FDD_166_9" hidden="1">"A33969"</definedName>
    <definedName name="FDD_167_0" hidden="1">"A30681"</definedName>
    <definedName name="FDD_167_1" hidden="1">"A31047"</definedName>
    <definedName name="FDD_167_10" hidden="1">"A34334"</definedName>
    <definedName name="FDD_167_11" hidden="1">"A34699"</definedName>
    <definedName name="FDD_167_12" hidden="1">"A35064"</definedName>
    <definedName name="FDD_167_13" hidden="1">"A35430"</definedName>
    <definedName name="FDD_167_14" hidden="1">"A35795"</definedName>
    <definedName name="FDD_167_2" hidden="1">"A31412"</definedName>
    <definedName name="FDD_167_3" hidden="1">"A31777"</definedName>
    <definedName name="FDD_167_4" hidden="1">"A32142"</definedName>
    <definedName name="FDD_167_5" hidden="1">"A32508"</definedName>
    <definedName name="FDD_167_6" hidden="1">"A32873"</definedName>
    <definedName name="FDD_167_7" hidden="1">"A33238"</definedName>
    <definedName name="FDD_167_8" hidden="1">"A33603"</definedName>
    <definedName name="FDD_167_9" hidden="1">"A33969"</definedName>
    <definedName name="FDD_168_0" hidden="1">"E36160"</definedName>
    <definedName name="FDD_168_1" hidden="1">"E36525"</definedName>
    <definedName name="FDD_168_2" hidden="1">"E36891"</definedName>
    <definedName name="FDD_169_0" hidden="1">"A30681"</definedName>
    <definedName name="FDD_169_1" hidden="1">"A31047"</definedName>
    <definedName name="FDD_169_10" hidden="1">"A34334"</definedName>
    <definedName name="FDD_169_11" hidden="1">"A34699"</definedName>
    <definedName name="FDD_169_12" hidden="1">"A35064"</definedName>
    <definedName name="FDD_169_13" hidden="1">"A35430"</definedName>
    <definedName name="FDD_169_14" hidden="1">"A35795"</definedName>
    <definedName name="FDD_169_2" hidden="1">"A31412"</definedName>
    <definedName name="FDD_169_3" hidden="1">"A31777"</definedName>
    <definedName name="FDD_169_4" hidden="1">"A32142"</definedName>
    <definedName name="FDD_169_5" hidden="1">"A32508"</definedName>
    <definedName name="FDD_169_6" hidden="1">"A32873"</definedName>
    <definedName name="FDD_169_7" hidden="1">"A33238"</definedName>
    <definedName name="FDD_169_8" hidden="1">"A33603"</definedName>
    <definedName name="FDD_169_9" hidden="1">"A33969"</definedName>
    <definedName name="FDD_17_0" hidden="1">"A25569"</definedName>
    <definedName name="FDD_170_0" hidden="1">"A30681"</definedName>
    <definedName name="FDD_170_1" hidden="1">"A31047"</definedName>
    <definedName name="FDD_170_10" hidden="1">"A34334"</definedName>
    <definedName name="FDD_170_11" hidden="1">"A34699"</definedName>
    <definedName name="FDD_170_12" hidden="1">"A35064"</definedName>
    <definedName name="FDD_170_13" hidden="1">"A35430"</definedName>
    <definedName name="FDD_170_14" hidden="1">"A35795"</definedName>
    <definedName name="FDD_170_2" hidden="1">"A31412"</definedName>
    <definedName name="FDD_170_3" hidden="1">"A31777"</definedName>
    <definedName name="FDD_170_4" hidden="1">"A32142"</definedName>
    <definedName name="FDD_170_5" hidden="1">"A32508"</definedName>
    <definedName name="FDD_170_6" hidden="1">"A32873"</definedName>
    <definedName name="FDD_170_7" hidden="1">"A33238"</definedName>
    <definedName name="FDD_170_8" hidden="1">"A33603"</definedName>
    <definedName name="FDD_170_9" hidden="1">"A33969"</definedName>
    <definedName name="FDD_171_0" hidden="1">"A30681"</definedName>
    <definedName name="FDD_171_1" hidden="1">"A31047"</definedName>
    <definedName name="FDD_171_10" hidden="1">"A34334"</definedName>
    <definedName name="FDD_171_11" hidden="1">"A34699"</definedName>
    <definedName name="FDD_171_12" hidden="1">"A35064"</definedName>
    <definedName name="FDD_171_13" hidden="1">"A35430"</definedName>
    <definedName name="FDD_171_14" hidden="1">"A35795"</definedName>
    <definedName name="FDD_171_2" hidden="1">"A31412"</definedName>
    <definedName name="FDD_171_3" hidden="1">"A31777"</definedName>
    <definedName name="FDD_171_4" hidden="1">"A32142"</definedName>
    <definedName name="FDD_171_5" hidden="1">"A32508"</definedName>
    <definedName name="FDD_171_6" hidden="1">"A32873"</definedName>
    <definedName name="FDD_171_7" hidden="1">"A33238"</definedName>
    <definedName name="FDD_171_8" hidden="1">"A33603"</definedName>
    <definedName name="FDD_171_9" hidden="1">"A33969"</definedName>
    <definedName name="FDD_172_0" hidden="1">"A30681"</definedName>
    <definedName name="FDD_172_1" hidden="1">"A31047"</definedName>
    <definedName name="FDD_172_10" hidden="1">"A34334"</definedName>
    <definedName name="FDD_172_11" hidden="1">"A34699"</definedName>
    <definedName name="FDD_172_12" hidden="1">"A35064"</definedName>
    <definedName name="FDD_172_13" hidden="1">"A35430"</definedName>
    <definedName name="FDD_172_14" hidden="1">"A35795"</definedName>
    <definedName name="FDD_172_2" hidden="1">"A31412"</definedName>
    <definedName name="FDD_172_3" hidden="1">"A31777"</definedName>
    <definedName name="FDD_172_4" hidden="1">"A32142"</definedName>
    <definedName name="FDD_172_5" hidden="1">"A32508"</definedName>
    <definedName name="FDD_172_6" hidden="1">"A32873"</definedName>
    <definedName name="FDD_172_7" hidden="1">"A33238"</definedName>
    <definedName name="FDD_172_8" hidden="1">"A33603"</definedName>
    <definedName name="FDD_172_9" hidden="1">"A33969"</definedName>
    <definedName name="FDD_173_0" hidden="1">"A30681"</definedName>
    <definedName name="FDD_173_1" hidden="1">"A31047"</definedName>
    <definedName name="FDD_173_10" hidden="1">"A34334"</definedName>
    <definedName name="FDD_173_11" hidden="1">"A34699"</definedName>
    <definedName name="FDD_173_12" hidden="1">"A35064"</definedName>
    <definedName name="FDD_173_13" hidden="1">"A35430"</definedName>
    <definedName name="FDD_173_14" hidden="1">"A35795"</definedName>
    <definedName name="FDD_173_2" hidden="1">"A31412"</definedName>
    <definedName name="FDD_173_3" hidden="1">"A31777"</definedName>
    <definedName name="FDD_173_4" hidden="1">"A32142"</definedName>
    <definedName name="FDD_173_5" hidden="1">"A32508"</definedName>
    <definedName name="FDD_173_6" hidden="1">"A32873"</definedName>
    <definedName name="FDD_173_7" hidden="1">"A33238"</definedName>
    <definedName name="FDD_173_8" hidden="1">"A33603"</definedName>
    <definedName name="FDD_173_9" hidden="1">"A33969"</definedName>
    <definedName name="FDD_174_0" hidden="1">"A30681"</definedName>
    <definedName name="FDD_174_1" hidden="1">"A31047"</definedName>
    <definedName name="FDD_174_10" hidden="1">"A34334"</definedName>
    <definedName name="FDD_174_11" hidden="1">"A34699"</definedName>
    <definedName name="FDD_174_12" hidden="1">"A35064"</definedName>
    <definedName name="FDD_174_13" hidden="1">"A35430"</definedName>
    <definedName name="FDD_174_14" hidden="1">"A35795"</definedName>
    <definedName name="FDD_174_2" hidden="1">"A31412"</definedName>
    <definedName name="FDD_174_3" hidden="1">"A31777"</definedName>
    <definedName name="FDD_174_4" hidden="1">"A32142"</definedName>
    <definedName name="FDD_174_5" hidden="1">"A32508"</definedName>
    <definedName name="FDD_174_6" hidden="1">"A32873"</definedName>
    <definedName name="FDD_174_7" hidden="1">"A33238"</definedName>
    <definedName name="FDD_174_8" hidden="1">"A33603"</definedName>
    <definedName name="FDD_174_9" hidden="1">"A33969"</definedName>
    <definedName name="FDD_175_0" hidden="1">"E36160"</definedName>
    <definedName name="FDD_175_1" hidden="1">"E36525"</definedName>
    <definedName name="FDD_175_2" hidden="1">"E36891"</definedName>
    <definedName name="FDD_176_0" hidden="1">"E36160"</definedName>
    <definedName name="FDD_176_1" hidden="1">"E36525"</definedName>
    <definedName name="FDD_176_2" hidden="1">"E36891"</definedName>
    <definedName name="FDD_177_0" hidden="1">"E36160"</definedName>
    <definedName name="FDD_177_1" hidden="1">"E36525"</definedName>
    <definedName name="FDD_177_2" hidden="1">"E36891"</definedName>
    <definedName name="FDD_178_0" hidden="1">"E36160"</definedName>
    <definedName name="FDD_178_1" hidden="1">"E36525"</definedName>
    <definedName name="FDD_178_2" hidden="1">"E36891"</definedName>
    <definedName name="FDD_179_0" hidden="1">"E36160"</definedName>
    <definedName name="FDD_179_1" hidden="1">"E36525"</definedName>
    <definedName name="FDD_179_2" hidden="1">"E36891"</definedName>
    <definedName name="FDD_18_0" hidden="1">"A25569"</definedName>
    <definedName name="FDD_180_0" hidden="1">"E36160"</definedName>
    <definedName name="FDD_180_1" hidden="1">"E36525"</definedName>
    <definedName name="FDD_180_2" hidden="1">"E36891"</definedName>
    <definedName name="FDD_181_0" hidden="1">"E36160"</definedName>
    <definedName name="FDD_181_1" hidden="1">"E36525"</definedName>
    <definedName name="FDD_181_2" hidden="1">"E36891"</definedName>
    <definedName name="FDD_182_0" hidden="1">"E36160"</definedName>
    <definedName name="FDD_182_1" hidden="1">"E36525"</definedName>
    <definedName name="FDD_182_2" hidden="1">"E36891"</definedName>
    <definedName name="FDD_183_0" hidden="1">"E36160"</definedName>
    <definedName name="FDD_183_1" hidden="1">"E36525"</definedName>
    <definedName name="FDD_183_2" hidden="1">"E36891"</definedName>
    <definedName name="FDD_184_0" hidden="1">"E36160"</definedName>
    <definedName name="FDD_184_1" hidden="1">"E36525"</definedName>
    <definedName name="FDD_184_2" hidden="1">"E36891"</definedName>
    <definedName name="FDD_185_0" hidden="1">"E36160"</definedName>
    <definedName name="FDD_185_1" hidden="1">"E36525"</definedName>
    <definedName name="FDD_185_2" hidden="1">"E36891"</definedName>
    <definedName name="FDD_186_0" hidden="1">"E36160"</definedName>
    <definedName name="FDD_186_1" hidden="1">"E36525"</definedName>
    <definedName name="FDD_186_2" hidden="1">"E36891"</definedName>
    <definedName name="FDD_187_0" hidden="1">"E36160"</definedName>
    <definedName name="FDD_187_1" hidden="1">"E36525"</definedName>
    <definedName name="FDD_187_2" hidden="1">"E36891"</definedName>
    <definedName name="FDD_188_0" hidden="1">"A30681"</definedName>
    <definedName name="FDD_188_1" hidden="1">"A31047"</definedName>
    <definedName name="FDD_188_10" hidden="1">"A34334"</definedName>
    <definedName name="FDD_188_11" hidden="1">"A34699"</definedName>
    <definedName name="FDD_188_12" hidden="1">"A35064"</definedName>
    <definedName name="FDD_188_13" hidden="1">"A35430"</definedName>
    <definedName name="FDD_188_14" hidden="1">"A35795"</definedName>
    <definedName name="FDD_188_2" hidden="1">"A31412"</definedName>
    <definedName name="FDD_188_3" hidden="1">"A31777"</definedName>
    <definedName name="FDD_188_4" hidden="1">"A32142"</definedName>
    <definedName name="FDD_188_5" hidden="1">"A32508"</definedName>
    <definedName name="FDD_188_6" hidden="1">"A32873"</definedName>
    <definedName name="FDD_188_7" hidden="1">"A33238"</definedName>
    <definedName name="FDD_188_8" hidden="1">"A33603"</definedName>
    <definedName name="FDD_188_9" hidden="1">"A33969"</definedName>
    <definedName name="FDD_189_0" hidden="1">"A30681"</definedName>
    <definedName name="FDD_189_1" hidden="1">"A31047"</definedName>
    <definedName name="FDD_189_10" hidden="1">"A34334"</definedName>
    <definedName name="FDD_189_11" hidden="1">"A34699"</definedName>
    <definedName name="FDD_189_12" hidden="1">"A35064"</definedName>
    <definedName name="FDD_189_13" hidden="1">"A35430"</definedName>
    <definedName name="FDD_189_14" hidden="1">"A35795"</definedName>
    <definedName name="FDD_189_2" hidden="1">"A31412"</definedName>
    <definedName name="FDD_189_3" hidden="1">"A31777"</definedName>
    <definedName name="FDD_189_4" hidden="1">"A32142"</definedName>
    <definedName name="FDD_189_5" hidden="1">"A32508"</definedName>
    <definedName name="FDD_189_6" hidden="1">"A32873"</definedName>
    <definedName name="FDD_189_7" hidden="1">"A33238"</definedName>
    <definedName name="FDD_189_8" hidden="1">"A33603"</definedName>
    <definedName name="FDD_189_9" hidden="1">"A33969"</definedName>
    <definedName name="FDD_19_0" hidden="1">"A25569"</definedName>
    <definedName name="FDD_190_0" hidden="1">"A30681"</definedName>
    <definedName name="FDD_190_1" hidden="1">"A31047"</definedName>
    <definedName name="FDD_190_10" hidden="1">"A34334"</definedName>
    <definedName name="FDD_190_11" hidden="1">"A34699"</definedName>
    <definedName name="FDD_190_12" hidden="1">"A35064"</definedName>
    <definedName name="FDD_190_13" hidden="1">"A35430"</definedName>
    <definedName name="FDD_190_14" hidden="1">"A35795"</definedName>
    <definedName name="FDD_190_2" hidden="1">"A31412"</definedName>
    <definedName name="FDD_190_3" hidden="1">"A31777"</definedName>
    <definedName name="FDD_190_4" hidden="1">"A32142"</definedName>
    <definedName name="FDD_190_5" hidden="1">"A32508"</definedName>
    <definedName name="FDD_190_6" hidden="1">"A32873"</definedName>
    <definedName name="FDD_190_7" hidden="1">"A33238"</definedName>
    <definedName name="FDD_190_8" hidden="1">"A33603"</definedName>
    <definedName name="FDD_190_9" hidden="1">"A33969"</definedName>
    <definedName name="FDD_191_0" hidden="1">"A30681"</definedName>
    <definedName name="FDD_191_1" hidden="1">"A31047"</definedName>
    <definedName name="FDD_191_10" hidden="1">"A34334"</definedName>
    <definedName name="FDD_191_11" hidden="1">"A34699"</definedName>
    <definedName name="FDD_191_12" hidden="1">"A35064"</definedName>
    <definedName name="FDD_191_13" hidden="1">"A35430"</definedName>
    <definedName name="FDD_191_14" hidden="1">"A35795"</definedName>
    <definedName name="FDD_191_2" hidden="1">"A31412"</definedName>
    <definedName name="FDD_191_3" hidden="1">"A31777"</definedName>
    <definedName name="FDD_191_4" hidden="1">"A32142"</definedName>
    <definedName name="FDD_191_5" hidden="1">"A32508"</definedName>
    <definedName name="FDD_191_6" hidden="1">"A32873"</definedName>
    <definedName name="FDD_191_7" hidden="1">"A33238"</definedName>
    <definedName name="FDD_191_8" hidden="1">"A33603"</definedName>
    <definedName name="FDD_191_9" hidden="1">"A33969"</definedName>
    <definedName name="FDD_192_0" hidden="1">"E36160"</definedName>
    <definedName name="FDD_192_1" hidden="1">"E36525"</definedName>
    <definedName name="FDD_192_2" hidden="1">"E36891"</definedName>
    <definedName name="FDD_193_0" hidden="1">"A30681"</definedName>
    <definedName name="FDD_193_1" hidden="1">"A31047"</definedName>
    <definedName name="FDD_193_10" hidden="1">"A34334"</definedName>
    <definedName name="FDD_193_11" hidden="1">"A34699"</definedName>
    <definedName name="FDD_193_12" hidden="1">"A35064"</definedName>
    <definedName name="FDD_193_13" hidden="1">"A35430"</definedName>
    <definedName name="FDD_193_14" hidden="1">"A35795"</definedName>
    <definedName name="FDD_193_2" hidden="1">"A31412"</definedName>
    <definedName name="FDD_193_3" hidden="1">"A31777"</definedName>
    <definedName name="FDD_193_4" hidden="1">"A32142"</definedName>
    <definedName name="FDD_193_5" hidden="1">"A32508"</definedName>
    <definedName name="FDD_193_6" hidden="1">"A32873"</definedName>
    <definedName name="FDD_193_7" hidden="1">"A33238"</definedName>
    <definedName name="FDD_193_8" hidden="1">"A33603"</definedName>
    <definedName name="FDD_193_9" hidden="1">"A33969"</definedName>
    <definedName name="FDD_194_0" hidden="1">"A30681"</definedName>
    <definedName name="FDD_194_1" hidden="1">"A31047"</definedName>
    <definedName name="FDD_194_10" hidden="1">"A34334"</definedName>
    <definedName name="FDD_194_11" hidden="1">"A34699"</definedName>
    <definedName name="FDD_194_12" hidden="1">"A35064"</definedName>
    <definedName name="FDD_194_13" hidden="1">"A35430"</definedName>
    <definedName name="FDD_194_14" hidden="1">"A35795"</definedName>
    <definedName name="FDD_194_2" hidden="1">"A31412"</definedName>
    <definedName name="FDD_194_3" hidden="1">"A31777"</definedName>
    <definedName name="FDD_194_4" hidden="1">"A32142"</definedName>
    <definedName name="FDD_194_5" hidden="1">"A32508"</definedName>
    <definedName name="FDD_194_6" hidden="1">"A32873"</definedName>
    <definedName name="FDD_194_7" hidden="1">"A33238"</definedName>
    <definedName name="FDD_194_8" hidden="1">"A33603"</definedName>
    <definedName name="FDD_194_9" hidden="1">"A33969"</definedName>
    <definedName name="FDD_195_0" hidden="1">"A30681"</definedName>
    <definedName name="FDD_195_1" hidden="1">"A31047"</definedName>
    <definedName name="FDD_195_10" hidden="1">"A34334"</definedName>
    <definedName name="FDD_195_11" hidden="1">"A34699"</definedName>
    <definedName name="FDD_195_12" hidden="1">"A35064"</definedName>
    <definedName name="FDD_195_13" hidden="1">"A35430"</definedName>
    <definedName name="FDD_195_14" hidden="1">"A35795"</definedName>
    <definedName name="FDD_195_2" hidden="1">"A31412"</definedName>
    <definedName name="FDD_195_3" hidden="1">"A31777"</definedName>
    <definedName name="FDD_195_4" hidden="1">"A32142"</definedName>
    <definedName name="FDD_195_5" hidden="1">"A32508"</definedName>
    <definedName name="FDD_195_6" hidden="1">"A32873"</definedName>
    <definedName name="FDD_195_7" hidden="1">"A33238"</definedName>
    <definedName name="FDD_195_8" hidden="1">"A33603"</definedName>
    <definedName name="FDD_195_9" hidden="1">"A33969"</definedName>
    <definedName name="FDD_196_0" hidden="1">"E36160"</definedName>
    <definedName name="FDD_196_1" hidden="1">"E36525"</definedName>
    <definedName name="FDD_196_2" hidden="1">"E36891"</definedName>
    <definedName name="FDD_197_0" hidden="1">"A30681"</definedName>
    <definedName name="FDD_197_1" hidden="1">"A31047"</definedName>
    <definedName name="FDD_197_10" hidden="1">"A34334"</definedName>
    <definedName name="FDD_197_11" hidden="1">"A34699"</definedName>
    <definedName name="FDD_197_12" hidden="1">"A35064"</definedName>
    <definedName name="FDD_197_13" hidden="1">"A35430"</definedName>
    <definedName name="FDD_197_14" hidden="1">"A35795"</definedName>
    <definedName name="FDD_197_2" hidden="1">"A31412"</definedName>
    <definedName name="FDD_197_3" hidden="1">"A31777"</definedName>
    <definedName name="FDD_197_4" hidden="1">"A32142"</definedName>
    <definedName name="FDD_197_5" hidden="1">"A32508"</definedName>
    <definedName name="FDD_197_6" hidden="1">"A32873"</definedName>
    <definedName name="FDD_197_7" hidden="1">"A33238"</definedName>
    <definedName name="FDD_197_8" hidden="1">"A33603"</definedName>
    <definedName name="FDD_197_9" hidden="1">"A33969"</definedName>
    <definedName name="FDD_198_0" hidden="1">"A30681"</definedName>
    <definedName name="FDD_198_1" hidden="1">"A31047"</definedName>
    <definedName name="FDD_198_10" hidden="1">"U34334"</definedName>
    <definedName name="FDD_198_11" hidden="1">"U34699"</definedName>
    <definedName name="FDD_198_12" hidden="1">"U35064"</definedName>
    <definedName name="FDD_198_13" hidden="1">"U35430"</definedName>
    <definedName name="FDD_198_14" hidden="1">"U35795"</definedName>
    <definedName name="FDD_198_2" hidden="1">"A31412"</definedName>
    <definedName name="FDD_198_3" hidden="1">"U31777"</definedName>
    <definedName name="FDD_198_4" hidden="1">"U32142"</definedName>
    <definedName name="FDD_198_5" hidden="1">"U32508"</definedName>
    <definedName name="FDD_198_6" hidden="1">"U32873"</definedName>
    <definedName name="FDD_198_7" hidden="1">"U33238"</definedName>
    <definedName name="FDD_198_8" hidden="1">"U33603"</definedName>
    <definedName name="FDD_198_9" hidden="1">"U33969"</definedName>
    <definedName name="FDD_199_0" hidden="1">"E36160"</definedName>
    <definedName name="FDD_199_1" hidden="1">"E36525"</definedName>
    <definedName name="FDD_199_2" hidden="1">"E36891"</definedName>
    <definedName name="FDD_2_0" hidden="1">"A25569"</definedName>
    <definedName name="FDD_20_0" hidden="1">"A25569"</definedName>
    <definedName name="FDD_200_0" hidden="1">"E36160"</definedName>
    <definedName name="FDD_200_1" hidden="1">"E36525"</definedName>
    <definedName name="FDD_200_2" hidden="1">"E36891"</definedName>
    <definedName name="FDD_201_0" hidden="1">"A30681"</definedName>
    <definedName name="FDD_201_1" hidden="1">"A31047"</definedName>
    <definedName name="FDD_201_10" hidden="1">"A34334"</definedName>
    <definedName name="FDD_201_11" hidden="1">"A34699"</definedName>
    <definedName name="FDD_201_12" hidden="1">"A35064"</definedName>
    <definedName name="FDD_201_13" hidden="1">"A35430"</definedName>
    <definedName name="FDD_201_14" hidden="1">"A35795"</definedName>
    <definedName name="FDD_201_2" hidden="1">"A31412"</definedName>
    <definedName name="FDD_201_3" hidden="1">"A31777"</definedName>
    <definedName name="FDD_201_4" hidden="1">"A32142"</definedName>
    <definedName name="FDD_201_5" hidden="1">"A32508"</definedName>
    <definedName name="FDD_201_6" hidden="1">"A32873"</definedName>
    <definedName name="FDD_201_7" hidden="1">"A33238"</definedName>
    <definedName name="FDD_201_8" hidden="1">"A33603"</definedName>
    <definedName name="FDD_201_9" hidden="1">"A33969"</definedName>
    <definedName name="FDD_202_0" hidden="1">"A30681"</definedName>
    <definedName name="FDD_202_1" hidden="1">"A31047"</definedName>
    <definedName name="FDD_202_10" hidden="1">"A34334"</definedName>
    <definedName name="FDD_202_11" hidden="1">"A34699"</definedName>
    <definedName name="FDD_202_12" hidden="1">"A35064"</definedName>
    <definedName name="FDD_202_13" hidden="1">"A35430"</definedName>
    <definedName name="FDD_202_14" hidden="1">"A35795"</definedName>
    <definedName name="FDD_202_2" hidden="1">"A31412"</definedName>
    <definedName name="FDD_202_3" hidden="1">"A31777"</definedName>
    <definedName name="FDD_202_4" hidden="1">"A32142"</definedName>
    <definedName name="FDD_202_5" hidden="1">"A32508"</definedName>
    <definedName name="FDD_202_6" hidden="1">"A32873"</definedName>
    <definedName name="FDD_202_7" hidden="1">"A33238"</definedName>
    <definedName name="FDD_202_8" hidden="1">"A33603"</definedName>
    <definedName name="FDD_202_9" hidden="1">"A33969"</definedName>
    <definedName name="FDD_203_0" hidden="1">"E36160"</definedName>
    <definedName name="FDD_203_1" hidden="1">"E36525"</definedName>
    <definedName name="FDD_203_2" hidden="1">"E36891"</definedName>
    <definedName name="FDD_204_0" hidden="1">"A25569"</definedName>
    <definedName name="FDD_205_0" hidden="1">"A25569"</definedName>
    <definedName name="FDD_206_0" hidden="1">"A25569"</definedName>
    <definedName name="FDD_207_0" hidden="1">"A25569"</definedName>
    <definedName name="FDD_208_0" hidden="1">"E36160"</definedName>
    <definedName name="FDD_208_1" hidden="1">"E36525"</definedName>
    <definedName name="FDD_208_2" hidden="1">"E36891"</definedName>
    <definedName name="FDD_209_0" hidden="1">"A25569"</definedName>
    <definedName name="FDD_21_0" hidden="1">"A25569"</definedName>
    <definedName name="FDD_210_0" hidden="1">"A25569"</definedName>
    <definedName name="FDD_211_0" hidden="1">"A25569"</definedName>
    <definedName name="FDD_212_0" hidden="1">"A25569"</definedName>
    <definedName name="FDD_213_0" hidden="1">"E36160"</definedName>
    <definedName name="FDD_213_1" hidden="1">"E36525"</definedName>
    <definedName name="FDD_213_2" hidden="1">"E36891"</definedName>
    <definedName name="FDD_214_0" hidden="1">"A25569"</definedName>
    <definedName name="FDD_215_0" hidden="1">"A25569"</definedName>
    <definedName name="FDD_216_0" hidden="1">"A25569"</definedName>
    <definedName name="FDD_217_0" hidden="1">"A25569"</definedName>
    <definedName name="FDD_218_0" hidden="1">"E36160"</definedName>
    <definedName name="FDD_218_1" hidden="1">"E36525"</definedName>
    <definedName name="FDD_218_2" hidden="1">"E36891"</definedName>
    <definedName name="FDD_219_0" hidden="1">"U25569"</definedName>
    <definedName name="FDD_22_0" hidden="1">"A25569"</definedName>
    <definedName name="FDD_220_0" hidden="1">"U25569"</definedName>
    <definedName name="FDD_221_0" hidden="1">"U25569"</definedName>
    <definedName name="FDD_222_0" hidden="1">"U25569"</definedName>
    <definedName name="FDD_223_0" hidden="1">"E36160"</definedName>
    <definedName name="FDD_223_1" hidden="1">"E36525"</definedName>
    <definedName name="FDD_223_2" hidden="1">"E36891"</definedName>
    <definedName name="FDD_224_0" hidden="1">"A25569"</definedName>
    <definedName name="FDD_225_0" hidden="1">"A25569"</definedName>
    <definedName name="FDD_226_0" hidden="1">"A25569"</definedName>
    <definedName name="FDD_227_0" hidden="1">"A25569"</definedName>
    <definedName name="FDD_228_0" hidden="1">"E36160"</definedName>
    <definedName name="FDD_228_1" hidden="1">"E36525"</definedName>
    <definedName name="FDD_228_2" hidden="1">"E36891"</definedName>
    <definedName name="FDD_229_0" hidden="1">"A25569"</definedName>
    <definedName name="FDD_23_0" hidden="1">"A25569"</definedName>
    <definedName name="FDD_230_0" hidden="1">"A25569"</definedName>
    <definedName name="FDD_231_0" hidden="1">"A25569"</definedName>
    <definedName name="FDD_232_0" hidden="1">"A25569"</definedName>
    <definedName name="FDD_233_0" hidden="1">"A25569"</definedName>
    <definedName name="FDD_234_0" hidden="1">"A25569"</definedName>
    <definedName name="FDD_235_0" hidden="1">"A25569"</definedName>
    <definedName name="FDD_236_0" hidden="1">"A25569"</definedName>
    <definedName name="FDD_237_0" hidden="1">"A25569"</definedName>
    <definedName name="FDD_238_0" hidden="1">"A30681"</definedName>
    <definedName name="FDD_238_1" hidden="1">"A31047"</definedName>
    <definedName name="FDD_238_10" hidden="1">"A34334"</definedName>
    <definedName name="FDD_238_11" hidden="1">"A34699"</definedName>
    <definedName name="FDD_238_12" hidden="1">"A35064"</definedName>
    <definedName name="FDD_238_13" hidden="1">"A35430"</definedName>
    <definedName name="FDD_238_14" hidden="1">"A35795"</definedName>
    <definedName name="FDD_238_2" hidden="1">"A31412"</definedName>
    <definedName name="FDD_238_3" hidden="1">"A31777"</definedName>
    <definedName name="FDD_238_4" hidden="1">"A32142"</definedName>
    <definedName name="FDD_238_5" hidden="1">"A32508"</definedName>
    <definedName name="FDD_238_6" hidden="1">"A32873"</definedName>
    <definedName name="FDD_238_7" hidden="1">"A33238"</definedName>
    <definedName name="FDD_238_8" hidden="1">"A33603"</definedName>
    <definedName name="FDD_238_9" hidden="1">"A33969"</definedName>
    <definedName name="FDD_24_0" hidden="1">"A25569"</definedName>
    <definedName name="FDD_243_0" hidden="1">"E36160"</definedName>
    <definedName name="FDD_243_1" hidden="1">"E36525"</definedName>
    <definedName name="FDD_243_2" hidden="1">"E36891"</definedName>
    <definedName name="FDD_244_0" hidden="1">"A25569"</definedName>
    <definedName name="FDD_245_0" hidden="1">"A25569"</definedName>
    <definedName name="FDD_246_0" hidden="1">"A25569"</definedName>
    <definedName name="FDD_247_0" hidden="1">"A25569"</definedName>
    <definedName name="FDD_248_0" hidden="1">"E36160"</definedName>
    <definedName name="FDD_248_1" hidden="1">"E36525"</definedName>
    <definedName name="FDD_248_2" hidden="1">"E36891"</definedName>
    <definedName name="FDD_249_0" hidden="1">"A25569"</definedName>
    <definedName name="FDD_25_0" hidden="1">"A25569"</definedName>
    <definedName name="FDD_250_0" hidden="1">"A25569"</definedName>
    <definedName name="FDD_251_0" hidden="1">"A25569"</definedName>
    <definedName name="FDD_252_0" hidden="1">"A25569"</definedName>
    <definedName name="FDD_253_0" hidden="1">"E36160"</definedName>
    <definedName name="FDD_253_1" hidden="1">"E36525"</definedName>
    <definedName name="FDD_253_2" hidden="1">"E36891"</definedName>
    <definedName name="FDD_254_0" hidden="1">"E36160"</definedName>
    <definedName name="FDD_254_1" hidden="1">"E36525"</definedName>
    <definedName name="FDD_254_2" hidden="1">"E36891"</definedName>
    <definedName name="FDD_255_0" hidden="1">"E36160"</definedName>
    <definedName name="FDD_255_1" hidden="1">"E36525"</definedName>
    <definedName name="FDD_255_2" hidden="1">"E36891"</definedName>
    <definedName name="FDD_256_0" hidden="1">"U36160"</definedName>
    <definedName name="FDD_256_1" hidden="1">"U36525"</definedName>
    <definedName name="FDD_256_2" hidden="1">"U36891"</definedName>
    <definedName name="FDD_257_0" hidden="1">"E36160"</definedName>
    <definedName name="FDD_257_1" hidden="1">"E36525"</definedName>
    <definedName name="FDD_257_2" hidden="1">"E36891"</definedName>
    <definedName name="FDD_258_0" hidden="1">"E36160"</definedName>
    <definedName name="FDD_258_1" hidden="1">"E36525"</definedName>
    <definedName name="FDD_258_2" hidden="1">"E36891"</definedName>
    <definedName name="FDD_259_0" hidden="1">"E36160"</definedName>
    <definedName name="FDD_259_1" hidden="1">"E36525"</definedName>
    <definedName name="FDD_259_2" hidden="1">"E36891"</definedName>
    <definedName name="FDD_26_0" hidden="1">"A25569"</definedName>
    <definedName name="FDD_260_0" hidden="1">"E36160"</definedName>
    <definedName name="FDD_260_1" hidden="1">"E36525"</definedName>
    <definedName name="FDD_260_2" hidden="1">"E36891"</definedName>
    <definedName name="FDD_261_0" hidden="1">"E36160"</definedName>
    <definedName name="FDD_261_1" hidden="1">"E36525"</definedName>
    <definedName name="FDD_261_2" hidden="1">"E36891"</definedName>
    <definedName name="FDD_264_0" hidden="1">"E36160"</definedName>
    <definedName name="FDD_264_1" hidden="1">"E36525"</definedName>
    <definedName name="FDD_264_2" hidden="1">"E36891"</definedName>
    <definedName name="FDD_265_0" hidden="1">"A25569"</definedName>
    <definedName name="FDD_266_0" hidden="1">"A25569"</definedName>
    <definedName name="FDD_267_0" hidden="1">"A25569"</definedName>
    <definedName name="FDD_268_0" hidden="1">"A25569"</definedName>
    <definedName name="FDD_269_0" hidden="1">"E36160"</definedName>
    <definedName name="FDD_269_1" hidden="1">"E36525"</definedName>
    <definedName name="FDD_269_2" hidden="1">"E36891"</definedName>
    <definedName name="FDD_27_0" hidden="1">"A25569"</definedName>
    <definedName name="FDD_270_0" hidden="1">"A25569"</definedName>
    <definedName name="FDD_271_0" hidden="1">"A25569"</definedName>
    <definedName name="FDD_272_0" hidden="1">"A25569"</definedName>
    <definedName name="FDD_273_0" hidden="1">"A25569"</definedName>
    <definedName name="FDD_274_0" hidden="1">"E36160"</definedName>
    <definedName name="FDD_274_1" hidden="1">"E36525"</definedName>
    <definedName name="FDD_274_2" hidden="1">"E36891"</definedName>
    <definedName name="FDD_275_0" hidden="1">"A25569"</definedName>
    <definedName name="FDD_276_0" hidden="1">"A25569"</definedName>
    <definedName name="FDD_277_0" hidden="1">"A25569"</definedName>
    <definedName name="FDD_278_0" hidden="1">"A25569"</definedName>
    <definedName name="FDD_279_0" hidden="1">"E36160"</definedName>
    <definedName name="FDD_279_1" hidden="1">"E36525"</definedName>
    <definedName name="FDD_279_2" hidden="1">"E36891"</definedName>
    <definedName name="FDD_28_0" hidden="1">"A25569"</definedName>
    <definedName name="FDD_280_0" hidden="1">"E36160"</definedName>
    <definedName name="FDD_280_1" hidden="1">"E36525"</definedName>
    <definedName name="FDD_280_2" hidden="1">"E36891"</definedName>
    <definedName name="FDD_281_0" hidden="1">"E36160"</definedName>
    <definedName name="FDD_281_1" hidden="1">"E36525"</definedName>
    <definedName name="FDD_281_2" hidden="1">"E36891"</definedName>
    <definedName name="FDD_282_0" hidden="1">"E36160"</definedName>
    <definedName name="FDD_282_1" hidden="1">"E36525"</definedName>
    <definedName name="FDD_282_2" hidden="1">"E36891"</definedName>
    <definedName name="FDD_283_0" hidden="1">"E36160"</definedName>
    <definedName name="FDD_283_1" hidden="1">"E36525"</definedName>
    <definedName name="FDD_283_2" hidden="1">"E36891"</definedName>
    <definedName name="FDD_284_0" hidden="1">"A30681"</definedName>
    <definedName name="FDD_284_1" hidden="1">"A31047"</definedName>
    <definedName name="FDD_284_10" hidden="1">"A34334"</definedName>
    <definedName name="FDD_284_11" hidden="1">"A34699"</definedName>
    <definedName name="FDD_284_12" hidden="1">"A35064"</definedName>
    <definedName name="FDD_284_13" hidden="1">"A35430"</definedName>
    <definedName name="FDD_284_14" hidden="1">"A35795"</definedName>
    <definedName name="FDD_284_2" hidden="1">"A31412"</definedName>
    <definedName name="FDD_284_3" hidden="1">"A31777"</definedName>
    <definedName name="FDD_284_4" hidden="1">"A32142"</definedName>
    <definedName name="FDD_284_5" hidden="1">"A32508"</definedName>
    <definedName name="FDD_284_6" hidden="1">"A32873"</definedName>
    <definedName name="FDD_284_7" hidden="1">"A33238"</definedName>
    <definedName name="FDD_284_8" hidden="1">"A33603"</definedName>
    <definedName name="FDD_284_9" hidden="1">"A33969"</definedName>
    <definedName name="FDD_285_0" hidden="1">"A35795"</definedName>
    <definedName name="FDD_285_1" hidden="1">"E36160"</definedName>
    <definedName name="FDD_285_10" hidden="1">"E39447"</definedName>
    <definedName name="FDD_285_11" hidden="1">"E39813"</definedName>
    <definedName name="FDD_285_12" hidden="1">"E40178"</definedName>
    <definedName name="FDD_285_13" hidden="1">"E40543"</definedName>
    <definedName name="FDD_285_14" hidden="1">"E40908"</definedName>
    <definedName name="FDD_285_15" hidden="1">"E41274"</definedName>
    <definedName name="FDD_285_16" hidden="1">"E41639"</definedName>
    <definedName name="FDD_285_17" hidden="1">"E42004"</definedName>
    <definedName name="FDD_285_18" hidden="1">"E42369"</definedName>
    <definedName name="FDD_285_19" hidden="1">"E42735"</definedName>
    <definedName name="FDD_285_2" hidden="1">"E36525"</definedName>
    <definedName name="FDD_285_20" hidden="1">"E43100"</definedName>
    <definedName name="FDD_285_21" hidden="1">"E43465"</definedName>
    <definedName name="FDD_285_22" hidden="1">"E43830"</definedName>
    <definedName name="FDD_285_23" hidden="1">"E44196"</definedName>
    <definedName name="FDD_285_24" hidden="1">"E44561"</definedName>
    <definedName name="FDD_285_25" hidden="1">"E44926"</definedName>
    <definedName name="FDD_285_3" hidden="1">"E36891"</definedName>
    <definedName name="FDD_285_4" hidden="1">"E37256"</definedName>
    <definedName name="FDD_285_5" hidden="1">"E37621"</definedName>
    <definedName name="FDD_285_6" hidden="1">"E37986"</definedName>
    <definedName name="FDD_285_7" hidden="1">"E38352"</definedName>
    <definedName name="FDD_285_8" hidden="1">"E38717"</definedName>
    <definedName name="FDD_285_9" hidden="1">"E39082"</definedName>
    <definedName name="FDD_286_0" hidden="1">"E36160"</definedName>
    <definedName name="FDD_286_1" hidden="1">"E36525"</definedName>
    <definedName name="FDD_286_10" hidden="1">"E39813"</definedName>
    <definedName name="FDD_286_11" hidden="1">"E40178"</definedName>
    <definedName name="FDD_286_12" hidden="1">"E40543"</definedName>
    <definedName name="FDD_286_13" hidden="1">"E40908"</definedName>
    <definedName name="FDD_286_14" hidden="1">"E41274"</definedName>
    <definedName name="FDD_286_15" hidden="1">"E41639"</definedName>
    <definedName name="FDD_286_16" hidden="1">"E42004"</definedName>
    <definedName name="FDD_286_17" hidden="1">"E42369"</definedName>
    <definedName name="FDD_286_18" hidden="1">"E42735"</definedName>
    <definedName name="FDD_286_19" hidden="1">"E43100"</definedName>
    <definedName name="FDD_286_2" hidden="1">"E36891"</definedName>
    <definedName name="FDD_286_20" hidden="1">"E43465"</definedName>
    <definedName name="FDD_286_21" hidden="1">"E43830"</definedName>
    <definedName name="FDD_286_22" hidden="1">"E44196"</definedName>
    <definedName name="FDD_286_23" hidden="1">"E44561"</definedName>
    <definedName name="FDD_286_24" hidden="1">"E44926"</definedName>
    <definedName name="FDD_286_3" hidden="1">"E37256"</definedName>
    <definedName name="FDD_286_4" hidden="1">"E37621"</definedName>
    <definedName name="FDD_286_5" hidden="1">"E37986"</definedName>
    <definedName name="FDD_286_6" hidden="1">"E38352"</definedName>
    <definedName name="FDD_286_7" hidden="1">"E38717"</definedName>
    <definedName name="FDD_286_8" hidden="1">"E39082"</definedName>
    <definedName name="FDD_286_9" hidden="1">"E39447"</definedName>
    <definedName name="FDD_287_0" hidden="1">"A25569"</definedName>
    <definedName name="FDD_288_0" hidden="1">"A25569"</definedName>
    <definedName name="FDD_289_0" hidden="1">"A36890"</definedName>
    <definedName name="FDD_29_0" hidden="1">"A25569"</definedName>
    <definedName name="FDD_290_0" hidden="1">"A36890"</definedName>
    <definedName name="FDD_291_0" hidden="1">"A25569"</definedName>
    <definedName name="FDD_295_0" hidden="1">"U25569"</definedName>
    <definedName name="FDD_296_0" hidden="1">"A25569"</definedName>
    <definedName name="FDD_297_0" hidden="1">"A25569"</definedName>
    <definedName name="FDD_298_0" hidden="1">"A25569"</definedName>
    <definedName name="FDD_299_0" hidden="1">"A25569"</definedName>
    <definedName name="FDD_3_0" hidden="1">"A25569"</definedName>
    <definedName name="FDD_30_0" hidden="1">"A25569"</definedName>
    <definedName name="FDD_300_0" hidden="1">"U25569"</definedName>
    <definedName name="FDD_301_0" hidden="1">"U35795"</definedName>
    <definedName name="FDD_301_1" hidden="1">"U36160"</definedName>
    <definedName name="FDD_301_2" hidden="1">"U36525"</definedName>
    <definedName name="FDD_302_0" hidden="1">"U35795"</definedName>
    <definedName name="FDD_302_1" hidden="1">"U36160"</definedName>
    <definedName name="FDD_302_2" hidden="1">"U36525"</definedName>
    <definedName name="FDD_303_0" hidden="1">"U35795"</definedName>
    <definedName name="FDD_303_1" hidden="1">"U36160"</definedName>
    <definedName name="FDD_303_2" hidden="1">"U36525"</definedName>
    <definedName name="FDD_304_0" hidden="1">"U35795"</definedName>
    <definedName name="FDD_304_1" hidden="1">"U36160"</definedName>
    <definedName name="FDD_304_2" hidden="1">"U36525"</definedName>
    <definedName name="FDD_305_0" hidden="1">"A30681"</definedName>
    <definedName name="FDD_305_1" hidden="1">"A31047"</definedName>
    <definedName name="FDD_305_10" hidden="1">"U34334"</definedName>
    <definedName name="FDD_305_11" hidden="1">"U34699"</definedName>
    <definedName name="FDD_305_12" hidden="1">"U35064"</definedName>
    <definedName name="FDD_305_13" hidden="1">"U35430"</definedName>
    <definedName name="FDD_305_14" hidden="1">"U35795"</definedName>
    <definedName name="FDD_305_2" hidden="1">"A31412"</definedName>
    <definedName name="FDD_305_3" hidden="1">"U31777"</definedName>
    <definedName name="FDD_305_4" hidden="1">"U32142"</definedName>
    <definedName name="FDD_305_5" hidden="1">"U32508"</definedName>
    <definedName name="FDD_305_6" hidden="1">"U32873"</definedName>
    <definedName name="FDD_305_7" hidden="1">"U33238"</definedName>
    <definedName name="FDD_305_8" hidden="1">"U33603"</definedName>
    <definedName name="FDD_305_9" hidden="1">"U33969"</definedName>
    <definedName name="FDD_306_0" hidden="1">"U35795"</definedName>
    <definedName name="FDD_306_1" hidden="1">"E36160"</definedName>
    <definedName name="FDD_306_2" hidden="1">"U36525"</definedName>
    <definedName name="FDD_307_0" hidden="1">"A35795"</definedName>
    <definedName name="FDD_307_1" hidden="1">"U36160"</definedName>
    <definedName name="FDD_307_2" hidden="1">"U36525"</definedName>
    <definedName name="FDD_31_0" hidden="1">"A25569"</definedName>
    <definedName name="FDD_32_0" hidden="1">"A25569"</definedName>
    <definedName name="FDD_33_0" hidden="1">"A25569"</definedName>
    <definedName name="FDD_34_0" hidden="1">"A25569"</definedName>
    <definedName name="FDD_35_0" hidden="1">"A25569"</definedName>
    <definedName name="FDD_36_0" hidden="1">"A25569"</definedName>
    <definedName name="FDD_37_0" hidden="1">"A25569"</definedName>
    <definedName name="FDD_38_0" hidden="1">"A25569"</definedName>
    <definedName name="FDD_39_0" hidden="1">"A25569"</definedName>
    <definedName name="FDD_4_0" hidden="1">"A25569"</definedName>
    <definedName name="FDD_40_0" hidden="1">"A25569"</definedName>
    <definedName name="FDD_41_0" hidden="1">"U25569"</definedName>
    <definedName name="FDD_42_0" hidden="1">"U25569"</definedName>
    <definedName name="FDD_43_0" hidden="1">"A25569"</definedName>
    <definedName name="FDD_44_0" hidden="1">"A30681"</definedName>
    <definedName name="FDD_44_1" hidden="1">"A31047"</definedName>
    <definedName name="FDD_44_10" hidden="1">"A34334"</definedName>
    <definedName name="FDD_44_11" hidden="1">"A34699"</definedName>
    <definedName name="FDD_44_12" hidden="1">"A35064"</definedName>
    <definedName name="FDD_44_13" hidden="1">"A35430"</definedName>
    <definedName name="FDD_44_14" hidden="1">"A35795"</definedName>
    <definedName name="FDD_44_2" hidden="1">"A31412"</definedName>
    <definedName name="FDD_44_3" hidden="1">"A31777"</definedName>
    <definedName name="FDD_44_4" hidden="1">"A32142"</definedName>
    <definedName name="FDD_44_5" hidden="1">"A32508"</definedName>
    <definedName name="FDD_44_6" hidden="1">"A32873"</definedName>
    <definedName name="FDD_44_7" hidden="1">"A33238"</definedName>
    <definedName name="FDD_44_8" hidden="1">"A33603"</definedName>
    <definedName name="FDD_44_9" hidden="1">"A33969"</definedName>
    <definedName name="FDD_45_0" hidden="1">"A30681"</definedName>
    <definedName name="FDD_45_1" hidden="1">"A31047"</definedName>
    <definedName name="FDD_45_10" hidden="1">"A34334"</definedName>
    <definedName name="FDD_45_11" hidden="1">"A34699"</definedName>
    <definedName name="FDD_45_12" hidden="1">"A35064"</definedName>
    <definedName name="FDD_45_13" hidden="1">"A35430"</definedName>
    <definedName name="FDD_45_14" hidden="1">"A35795"</definedName>
    <definedName name="FDD_45_2" hidden="1">"A31412"</definedName>
    <definedName name="FDD_45_3" hidden="1">"A31777"</definedName>
    <definedName name="FDD_45_4" hidden="1">"A32142"</definedName>
    <definedName name="FDD_45_5" hidden="1">"A32508"</definedName>
    <definedName name="FDD_45_6" hidden="1">"A32873"</definedName>
    <definedName name="FDD_45_7" hidden="1">"A33238"</definedName>
    <definedName name="FDD_45_8" hidden="1">"A33603"</definedName>
    <definedName name="FDD_45_9" hidden="1">"A33969"</definedName>
    <definedName name="FDD_46_0" hidden="1">"A30681"</definedName>
    <definedName name="FDD_46_1" hidden="1">"A31047"</definedName>
    <definedName name="FDD_46_10" hidden="1">"A34334"</definedName>
    <definedName name="FDD_46_11" hidden="1">"A34699"</definedName>
    <definedName name="FDD_46_12" hidden="1">"A35064"</definedName>
    <definedName name="FDD_46_13" hidden="1">"A35430"</definedName>
    <definedName name="FDD_46_14" hidden="1">"A35795"</definedName>
    <definedName name="FDD_46_2" hidden="1">"A31412"</definedName>
    <definedName name="FDD_46_3" hidden="1">"A31777"</definedName>
    <definedName name="FDD_46_4" hidden="1">"A32142"</definedName>
    <definedName name="FDD_46_5" hidden="1">"A32508"</definedName>
    <definedName name="FDD_46_6" hidden="1">"A32873"</definedName>
    <definedName name="FDD_46_7" hidden="1">"A33238"</definedName>
    <definedName name="FDD_46_8" hidden="1">"A33603"</definedName>
    <definedName name="FDD_46_9" hidden="1">"A33969"</definedName>
    <definedName name="FDD_47_0" hidden="1">"A30681"</definedName>
    <definedName name="FDD_47_1" hidden="1">"A31047"</definedName>
    <definedName name="FDD_47_10" hidden="1">"A34334"</definedName>
    <definedName name="FDD_47_11" hidden="1">"A34699"</definedName>
    <definedName name="FDD_47_12" hidden="1">"A35064"</definedName>
    <definedName name="FDD_47_13" hidden="1">"A35430"</definedName>
    <definedName name="FDD_47_14" hidden="1">"A35795"</definedName>
    <definedName name="FDD_47_2" hidden="1">"A31412"</definedName>
    <definedName name="FDD_47_3" hidden="1">"A31777"</definedName>
    <definedName name="FDD_47_4" hidden="1">"A32142"</definedName>
    <definedName name="FDD_47_5" hidden="1">"A32508"</definedName>
    <definedName name="FDD_47_6" hidden="1">"A32873"</definedName>
    <definedName name="FDD_47_7" hidden="1">"A33238"</definedName>
    <definedName name="FDD_47_8" hidden="1">"A33603"</definedName>
    <definedName name="FDD_47_9" hidden="1">"A33969"</definedName>
    <definedName name="FDD_48_0" hidden="1">"A30681"</definedName>
    <definedName name="FDD_48_1" hidden="1">"A31047"</definedName>
    <definedName name="FDD_48_10" hidden="1">"A34334"</definedName>
    <definedName name="FDD_48_11" hidden="1">"A34699"</definedName>
    <definedName name="FDD_48_12" hidden="1">"A35064"</definedName>
    <definedName name="FDD_48_13" hidden="1">"A35430"</definedName>
    <definedName name="FDD_48_14" hidden="1">"A35795"</definedName>
    <definedName name="FDD_48_2" hidden="1">"A31412"</definedName>
    <definedName name="FDD_48_3" hidden="1">"A31777"</definedName>
    <definedName name="FDD_48_4" hidden="1">"A32142"</definedName>
    <definedName name="FDD_48_5" hidden="1">"A32508"</definedName>
    <definedName name="FDD_48_6" hidden="1">"A32873"</definedName>
    <definedName name="FDD_48_7" hidden="1">"A33238"</definedName>
    <definedName name="FDD_48_8" hidden="1">"A33603"</definedName>
    <definedName name="FDD_48_9" hidden="1">"A33969"</definedName>
    <definedName name="FDD_49_0" hidden="1">"A30681"</definedName>
    <definedName name="FDD_49_1" hidden="1">"A31047"</definedName>
    <definedName name="FDD_49_10" hidden="1">"A34334"</definedName>
    <definedName name="FDD_49_11" hidden="1">"A34699"</definedName>
    <definedName name="FDD_49_12" hidden="1">"A35064"</definedName>
    <definedName name="FDD_49_13" hidden="1">"A35430"</definedName>
    <definedName name="FDD_49_14" hidden="1">"A35795"</definedName>
    <definedName name="FDD_49_2" hidden="1">"A31412"</definedName>
    <definedName name="FDD_49_3" hidden="1">"A31777"</definedName>
    <definedName name="FDD_49_4" hidden="1">"A32142"</definedName>
    <definedName name="FDD_49_5" hidden="1">"A32508"</definedName>
    <definedName name="FDD_49_6" hidden="1">"A32873"</definedName>
    <definedName name="FDD_49_7" hidden="1">"A33238"</definedName>
    <definedName name="FDD_49_8" hidden="1">"A33603"</definedName>
    <definedName name="FDD_49_9" hidden="1">"A33969"</definedName>
    <definedName name="FDD_5_0" hidden="1">"A25569"</definedName>
    <definedName name="FDD_50_0" hidden="1">"A30681"</definedName>
    <definedName name="FDD_50_1" hidden="1">"A31047"</definedName>
    <definedName name="FDD_50_10" hidden="1">"A34334"</definedName>
    <definedName name="FDD_50_11" hidden="1">"A34699"</definedName>
    <definedName name="FDD_50_12" hidden="1">"A35064"</definedName>
    <definedName name="FDD_50_13" hidden="1">"A35430"</definedName>
    <definedName name="FDD_50_14" hidden="1">"A35795"</definedName>
    <definedName name="FDD_50_2" hidden="1">"A31412"</definedName>
    <definedName name="FDD_50_3" hidden="1">"A31777"</definedName>
    <definedName name="FDD_50_4" hidden="1">"A32142"</definedName>
    <definedName name="FDD_50_5" hidden="1">"A32508"</definedName>
    <definedName name="FDD_50_6" hidden="1">"A32873"</definedName>
    <definedName name="FDD_50_7" hidden="1">"A33238"</definedName>
    <definedName name="FDD_50_8" hidden="1">"A33603"</definedName>
    <definedName name="FDD_50_9" hidden="1">"A33969"</definedName>
    <definedName name="FDD_51_0" hidden="1">"A30681"</definedName>
    <definedName name="FDD_51_1" hidden="1">"A31047"</definedName>
    <definedName name="FDD_51_10" hidden="1">"A34334"</definedName>
    <definedName name="FDD_51_11" hidden="1">"A34699"</definedName>
    <definedName name="FDD_51_12" hidden="1">"A35064"</definedName>
    <definedName name="FDD_51_13" hidden="1">"A35430"</definedName>
    <definedName name="FDD_51_14" hidden="1">"A35795"</definedName>
    <definedName name="FDD_51_2" hidden="1">"A31412"</definedName>
    <definedName name="FDD_51_3" hidden="1">"A31777"</definedName>
    <definedName name="FDD_51_4" hidden="1">"A32142"</definedName>
    <definedName name="FDD_51_5" hidden="1">"A32508"</definedName>
    <definedName name="FDD_51_6" hidden="1">"A32873"</definedName>
    <definedName name="FDD_51_7" hidden="1">"A33238"</definedName>
    <definedName name="FDD_51_8" hidden="1">"A33603"</definedName>
    <definedName name="FDD_51_9" hidden="1">"A33969"</definedName>
    <definedName name="FDD_52_0" hidden="1">"A30681"</definedName>
    <definedName name="FDD_52_1" hidden="1">"A31047"</definedName>
    <definedName name="FDD_52_10" hidden="1">"A34334"</definedName>
    <definedName name="FDD_52_11" hidden="1">"A34699"</definedName>
    <definedName name="FDD_52_12" hidden="1">"A35064"</definedName>
    <definedName name="FDD_52_13" hidden="1">"A35430"</definedName>
    <definedName name="FDD_52_14" hidden="1">"A35795"</definedName>
    <definedName name="FDD_52_2" hidden="1">"A31412"</definedName>
    <definedName name="FDD_52_3" hidden="1">"A31777"</definedName>
    <definedName name="FDD_52_4" hidden="1">"A32142"</definedName>
    <definedName name="FDD_52_5" hidden="1">"A32508"</definedName>
    <definedName name="FDD_52_6" hidden="1">"A32873"</definedName>
    <definedName name="FDD_52_7" hidden="1">"A33238"</definedName>
    <definedName name="FDD_52_8" hidden="1">"A33603"</definedName>
    <definedName name="FDD_52_9" hidden="1">"A33969"</definedName>
    <definedName name="FDD_53_0" hidden="1">"U30681"</definedName>
    <definedName name="FDD_53_1" hidden="1">"A31047"</definedName>
    <definedName name="FDD_53_10" hidden="1">"A34334"</definedName>
    <definedName name="FDD_53_11" hidden="1">"A34699"</definedName>
    <definedName name="FDD_53_12" hidden="1">"A35064"</definedName>
    <definedName name="FDD_53_13" hidden="1">"A35430"</definedName>
    <definedName name="FDD_53_14" hidden="1">"A35795"</definedName>
    <definedName name="FDD_53_2" hidden="1">"A31412"</definedName>
    <definedName name="FDD_53_3" hidden="1">"A31777"</definedName>
    <definedName name="FDD_53_4" hidden="1">"A32142"</definedName>
    <definedName name="FDD_53_5" hidden="1">"A32508"</definedName>
    <definedName name="FDD_53_6" hidden="1">"A32873"</definedName>
    <definedName name="FDD_53_7" hidden="1">"A33238"</definedName>
    <definedName name="FDD_53_8" hidden="1">"A33603"</definedName>
    <definedName name="FDD_53_9" hidden="1">"A33969"</definedName>
    <definedName name="FDD_54_0" hidden="1">"A30681"</definedName>
    <definedName name="FDD_54_1" hidden="1">"A31047"</definedName>
    <definedName name="FDD_54_10" hidden="1">"A34334"</definedName>
    <definedName name="FDD_54_11" hidden="1">"A34699"</definedName>
    <definedName name="FDD_54_12" hidden="1">"A35064"</definedName>
    <definedName name="FDD_54_13" hidden="1">"A35430"</definedName>
    <definedName name="FDD_54_14" hidden="1">"A35795"</definedName>
    <definedName name="FDD_54_2" hidden="1">"A31412"</definedName>
    <definedName name="FDD_54_3" hidden="1">"A31777"</definedName>
    <definedName name="FDD_54_4" hidden="1">"A32142"</definedName>
    <definedName name="FDD_54_5" hidden="1">"A32508"</definedName>
    <definedName name="FDD_54_6" hidden="1">"A32873"</definedName>
    <definedName name="FDD_54_7" hidden="1">"A33238"</definedName>
    <definedName name="FDD_54_8" hidden="1">"A33603"</definedName>
    <definedName name="FDD_54_9" hidden="1">"A33969"</definedName>
    <definedName name="FDD_55_0" hidden="1">"A30681"</definedName>
    <definedName name="FDD_55_1" hidden="1">"A31047"</definedName>
    <definedName name="FDD_55_10" hidden="1">"A34334"</definedName>
    <definedName name="FDD_55_11" hidden="1">"A34699"</definedName>
    <definedName name="FDD_55_12" hidden="1">"A35064"</definedName>
    <definedName name="FDD_55_13" hidden="1">"A35430"</definedName>
    <definedName name="FDD_55_14" hidden="1">"A35795"</definedName>
    <definedName name="FDD_55_2" hidden="1">"A31412"</definedName>
    <definedName name="FDD_55_3" hidden="1">"A31777"</definedName>
    <definedName name="FDD_55_4" hidden="1">"A32142"</definedName>
    <definedName name="FDD_55_5" hidden="1">"A32508"</definedName>
    <definedName name="FDD_55_6" hidden="1">"A32873"</definedName>
    <definedName name="FDD_55_7" hidden="1">"A33238"</definedName>
    <definedName name="FDD_55_8" hidden="1">"A33603"</definedName>
    <definedName name="FDD_55_9" hidden="1">"A33969"</definedName>
    <definedName name="FDD_56_0" hidden="1">"A30681"</definedName>
    <definedName name="FDD_56_1" hidden="1">"A31047"</definedName>
    <definedName name="FDD_56_10" hidden="1">"A34334"</definedName>
    <definedName name="FDD_56_11" hidden="1">"A34699"</definedName>
    <definedName name="FDD_56_12" hidden="1">"A35064"</definedName>
    <definedName name="FDD_56_13" hidden="1">"A35430"</definedName>
    <definedName name="FDD_56_14" hidden="1">"A35795"</definedName>
    <definedName name="FDD_56_2" hidden="1">"A31412"</definedName>
    <definedName name="FDD_56_3" hidden="1">"A31777"</definedName>
    <definedName name="FDD_56_4" hidden="1">"A32142"</definedName>
    <definedName name="FDD_56_5" hidden="1">"A32508"</definedName>
    <definedName name="FDD_56_6" hidden="1">"A32873"</definedName>
    <definedName name="FDD_56_7" hidden="1">"A33238"</definedName>
    <definedName name="FDD_56_8" hidden="1">"A33603"</definedName>
    <definedName name="FDD_56_9" hidden="1">"A33969"</definedName>
    <definedName name="FDD_57_0" hidden="1">"A30681"</definedName>
    <definedName name="FDD_57_1" hidden="1">"A31047"</definedName>
    <definedName name="FDD_57_10" hidden="1">"A34334"</definedName>
    <definedName name="FDD_57_11" hidden="1">"A34699"</definedName>
    <definedName name="FDD_57_12" hidden="1">"A35064"</definedName>
    <definedName name="FDD_57_13" hidden="1">"A35430"</definedName>
    <definedName name="FDD_57_14" hidden="1">"A35795"</definedName>
    <definedName name="FDD_57_2" hidden="1">"A31412"</definedName>
    <definedName name="FDD_57_3" hidden="1">"A31777"</definedName>
    <definedName name="FDD_57_4" hidden="1">"A32142"</definedName>
    <definedName name="FDD_57_5" hidden="1">"A32508"</definedName>
    <definedName name="FDD_57_6" hidden="1">"A32873"</definedName>
    <definedName name="FDD_57_7" hidden="1">"A33238"</definedName>
    <definedName name="FDD_57_8" hidden="1">"A33603"</definedName>
    <definedName name="FDD_57_9" hidden="1">"A33969"</definedName>
    <definedName name="FDD_58_0" hidden="1">"A30681"</definedName>
    <definedName name="FDD_58_1" hidden="1">"A31047"</definedName>
    <definedName name="FDD_58_10" hidden="1">"A34334"</definedName>
    <definedName name="FDD_58_11" hidden="1">"A34699"</definedName>
    <definedName name="FDD_58_12" hidden="1">"A35064"</definedName>
    <definedName name="FDD_58_13" hidden="1">"A35430"</definedName>
    <definedName name="FDD_58_14" hidden="1">"A35795"</definedName>
    <definedName name="FDD_58_2" hidden="1">"A31412"</definedName>
    <definedName name="FDD_58_3" hidden="1">"A31777"</definedName>
    <definedName name="FDD_58_4" hidden="1">"A32142"</definedName>
    <definedName name="FDD_58_5" hidden="1">"A32508"</definedName>
    <definedName name="FDD_58_6" hidden="1">"A32873"</definedName>
    <definedName name="FDD_58_7" hidden="1">"A33238"</definedName>
    <definedName name="FDD_58_8" hidden="1">"A33603"</definedName>
    <definedName name="FDD_58_9" hidden="1">"A33969"</definedName>
    <definedName name="FDD_59_0" hidden="1">"A30681"</definedName>
    <definedName name="FDD_59_1" hidden="1">"A31047"</definedName>
    <definedName name="FDD_59_10" hidden="1">"A34334"</definedName>
    <definedName name="FDD_59_11" hidden="1">"A34699"</definedName>
    <definedName name="FDD_59_12" hidden="1">"A35064"</definedName>
    <definedName name="FDD_59_13" hidden="1">"A35430"</definedName>
    <definedName name="FDD_59_14" hidden="1">"A35795"</definedName>
    <definedName name="FDD_59_2" hidden="1">"A31412"</definedName>
    <definedName name="FDD_59_3" hidden="1">"A31777"</definedName>
    <definedName name="FDD_59_4" hidden="1">"A32142"</definedName>
    <definedName name="FDD_59_5" hidden="1">"A32508"</definedName>
    <definedName name="FDD_59_6" hidden="1">"A32873"</definedName>
    <definedName name="FDD_59_7" hidden="1">"A33238"</definedName>
    <definedName name="FDD_59_8" hidden="1">"A33603"</definedName>
    <definedName name="FDD_59_9" hidden="1">"A33969"</definedName>
    <definedName name="FDD_6_0" hidden="1">"A25569"</definedName>
    <definedName name="FDD_60_0" hidden="1">"A30681"</definedName>
    <definedName name="FDD_60_1" hidden="1">"A31047"</definedName>
    <definedName name="FDD_60_10" hidden="1">"A34334"</definedName>
    <definedName name="FDD_60_11" hidden="1">"A34699"</definedName>
    <definedName name="FDD_60_12" hidden="1">"A35064"</definedName>
    <definedName name="FDD_60_13" hidden="1">"A35430"</definedName>
    <definedName name="FDD_60_14" hidden="1">"A35795"</definedName>
    <definedName name="FDD_60_2" hidden="1">"A31412"</definedName>
    <definedName name="FDD_60_3" hidden="1">"A31777"</definedName>
    <definedName name="FDD_60_4" hidden="1">"A32142"</definedName>
    <definedName name="FDD_60_5" hidden="1">"A32508"</definedName>
    <definedName name="FDD_60_6" hidden="1">"A32873"</definedName>
    <definedName name="FDD_60_7" hidden="1">"A33238"</definedName>
    <definedName name="FDD_60_8" hidden="1">"A33603"</definedName>
    <definedName name="FDD_60_9" hidden="1">"A33969"</definedName>
    <definedName name="FDD_61_0" hidden="1">"A30681"</definedName>
    <definedName name="FDD_61_1" hidden="1">"A31047"</definedName>
    <definedName name="FDD_61_10" hidden="1">"A34334"</definedName>
    <definedName name="FDD_61_11" hidden="1">"A34699"</definedName>
    <definedName name="FDD_61_12" hidden="1">"A35064"</definedName>
    <definedName name="FDD_61_13" hidden="1">"A35430"</definedName>
    <definedName name="FDD_61_14" hidden="1">"A35795"</definedName>
    <definedName name="FDD_61_2" hidden="1">"A31412"</definedName>
    <definedName name="FDD_61_3" hidden="1">"A31777"</definedName>
    <definedName name="FDD_61_4" hidden="1">"A32142"</definedName>
    <definedName name="FDD_61_5" hidden="1">"A32508"</definedName>
    <definedName name="FDD_61_6" hidden="1">"A32873"</definedName>
    <definedName name="FDD_61_7" hidden="1">"A33238"</definedName>
    <definedName name="FDD_61_8" hidden="1">"A33603"</definedName>
    <definedName name="FDD_61_9" hidden="1">"A33969"</definedName>
    <definedName name="FDD_62_0" hidden="1">"A30681"</definedName>
    <definedName name="FDD_62_1" hidden="1">"A31047"</definedName>
    <definedName name="FDD_62_10" hidden="1">"A34334"</definedName>
    <definedName name="FDD_62_11" hidden="1">"A34699"</definedName>
    <definedName name="FDD_62_12" hidden="1">"A35064"</definedName>
    <definedName name="FDD_62_13" hidden="1">"A35430"</definedName>
    <definedName name="FDD_62_14" hidden="1">"A35795"</definedName>
    <definedName name="FDD_62_2" hidden="1">"A31412"</definedName>
    <definedName name="FDD_62_3" hidden="1">"A31777"</definedName>
    <definedName name="FDD_62_4" hidden="1">"A32142"</definedName>
    <definedName name="FDD_62_5" hidden="1">"A32508"</definedName>
    <definedName name="FDD_62_6" hidden="1">"A32873"</definedName>
    <definedName name="FDD_62_7" hidden="1">"A33238"</definedName>
    <definedName name="FDD_62_8" hidden="1">"A33603"</definedName>
    <definedName name="FDD_62_9" hidden="1">"A33969"</definedName>
    <definedName name="FDD_63_0" hidden="1">"A30681"</definedName>
    <definedName name="FDD_63_1" hidden="1">"A31047"</definedName>
    <definedName name="FDD_63_10" hidden="1">"A34334"</definedName>
    <definedName name="FDD_63_11" hidden="1">"A34699"</definedName>
    <definedName name="FDD_63_12" hidden="1">"A35064"</definedName>
    <definedName name="FDD_63_13" hidden="1">"A35430"</definedName>
    <definedName name="FDD_63_14" hidden="1">"A35795"</definedName>
    <definedName name="FDD_63_2" hidden="1">"A31412"</definedName>
    <definedName name="FDD_63_3" hidden="1">"A31777"</definedName>
    <definedName name="FDD_63_4" hidden="1">"A32142"</definedName>
    <definedName name="FDD_63_5" hidden="1">"A32508"</definedName>
    <definedName name="FDD_63_6" hidden="1">"A32873"</definedName>
    <definedName name="FDD_63_7" hidden="1">"A33238"</definedName>
    <definedName name="FDD_63_8" hidden="1">"A33603"</definedName>
    <definedName name="FDD_63_9" hidden="1">"A33969"</definedName>
    <definedName name="FDD_64_0" hidden="1">"A30681"</definedName>
    <definedName name="FDD_64_1" hidden="1">"A31047"</definedName>
    <definedName name="FDD_64_10" hidden="1">"A34334"</definedName>
    <definedName name="FDD_64_11" hidden="1">"A34699"</definedName>
    <definedName name="FDD_64_12" hidden="1">"A35064"</definedName>
    <definedName name="FDD_64_13" hidden="1">"A35430"</definedName>
    <definedName name="FDD_64_14" hidden="1">"A35795"</definedName>
    <definedName name="FDD_64_2" hidden="1">"A31412"</definedName>
    <definedName name="FDD_64_3" hidden="1">"A31777"</definedName>
    <definedName name="FDD_64_4" hidden="1">"A32142"</definedName>
    <definedName name="FDD_64_5" hidden="1">"A32508"</definedName>
    <definedName name="FDD_64_6" hidden="1">"A32873"</definedName>
    <definedName name="FDD_64_7" hidden="1">"A33238"</definedName>
    <definedName name="FDD_64_8" hidden="1">"A33603"</definedName>
    <definedName name="FDD_64_9" hidden="1">"A33969"</definedName>
    <definedName name="FDD_65_0" hidden="1">"A30681"</definedName>
    <definedName name="FDD_65_1" hidden="1">"A31047"</definedName>
    <definedName name="FDD_65_10" hidden="1">"A34334"</definedName>
    <definedName name="FDD_65_11" hidden="1">"A34699"</definedName>
    <definedName name="FDD_65_12" hidden="1">"A35064"</definedName>
    <definedName name="FDD_65_13" hidden="1">"A35430"</definedName>
    <definedName name="FDD_65_14" hidden="1">"A35795"</definedName>
    <definedName name="FDD_65_2" hidden="1">"A31412"</definedName>
    <definedName name="FDD_65_3" hidden="1">"A31777"</definedName>
    <definedName name="FDD_65_4" hidden="1">"A32142"</definedName>
    <definedName name="FDD_65_5" hidden="1">"A32508"</definedName>
    <definedName name="FDD_65_6" hidden="1">"A32873"</definedName>
    <definedName name="FDD_65_7" hidden="1">"A33238"</definedName>
    <definedName name="FDD_65_8" hidden="1">"A33603"</definedName>
    <definedName name="FDD_65_9" hidden="1">"A33969"</definedName>
    <definedName name="FDD_66_0" hidden="1">"A30681"</definedName>
    <definedName name="FDD_66_1" hidden="1">"A31047"</definedName>
    <definedName name="FDD_66_10" hidden="1">"A34334"</definedName>
    <definedName name="FDD_66_11" hidden="1">"A34699"</definedName>
    <definedName name="FDD_66_12" hidden="1">"A35064"</definedName>
    <definedName name="FDD_66_13" hidden="1">"A35430"</definedName>
    <definedName name="FDD_66_14" hidden="1">"A35795"</definedName>
    <definedName name="FDD_66_2" hidden="1">"A31412"</definedName>
    <definedName name="FDD_66_3" hidden="1">"A31777"</definedName>
    <definedName name="FDD_66_4" hidden="1">"A32142"</definedName>
    <definedName name="FDD_66_5" hidden="1">"A32508"</definedName>
    <definedName name="FDD_66_6" hidden="1">"A32873"</definedName>
    <definedName name="FDD_66_7" hidden="1">"A33238"</definedName>
    <definedName name="FDD_66_8" hidden="1">"A33603"</definedName>
    <definedName name="FDD_66_9" hidden="1">"A33969"</definedName>
    <definedName name="FDD_67_0" hidden="1">"A30681"</definedName>
    <definedName name="FDD_67_1" hidden="1">"A31047"</definedName>
    <definedName name="FDD_67_10" hidden="1">"A34334"</definedName>
    <definedName name="FDD_67_11" hidden="1">"A34699"</definedName>
    <definedName name="FDD_67_12" hidden="1">"A35064"</definedName>
    <definedName name="FDD_67_13" hidden="1">"A35430"</definedName>
    <definedName name="FDD_67_14" hidden="1">"A35795"</definedName>
    <definedName name="FDD_67_2" hidden="1">"A31412"</definedName>
    <definedName name="FDD_67_3" hidden="1">"A31777"</definedName>
    <definedName name="FDD_67_4" hidden="1">"A32142"</definedName>
    <definedName name="FDD_67_5" hidden="1">"A32508"</definedName>
    <definedName name="FDD_67_6" hidden="1">"A32873"</definedName>
    <definedName name="FDD_67_7" hidden="1">"A33238"</definedName>
    <definedName name="FDD_67_8" hidden="1">"A33603"</definedName>
    <definedName name="FDD_67_9" hidden="1">"A33969"</definedName>
    <definedName name="FDD_68_0" hidden="1">"A30681"</definedName>
    <definedName name="FDD_68_1" hidden="1">"A31047"</definedName>
    <definedName name="FDD_68_10" hidden="1">"A34334"</definedName>
    <definedName name="FDD_68_11" hidden="1">"A34699"</definedName>
    <definedName name="FDD_68_12" hidden="1">"A35064"</definedName>
    <definedName name="FDD_68_13" hidden="1">"A35430"</definedName>
    <definedName name="FDD_68_14" hidden="1">"A35795"</definedName>
    <definedName name="FDD_68_2" hidden="1">"A31412"</definedName>
    <definedName name="FDD_68_3" hidden="1">"A31777"</definedName>
    <definedName name="FDD_68_4" hidden="1">"A32142"</definedName>
    <definedName name="FDD_68_5" hidden="1">"A32508"</definedName>
    <definedName name="FDD_68_6" hidden="1">"A32873"</definedName>
    <definedName name="FDD_68_7" hidden="1">"A33238"</definedName>
    <definedName name="FDD_68_8" hidden="1">"A33603"</definedName>
    <definedName name="FDD_68_9" hidden="1">"A33969"</definedName>
    <definedName name="FDD_69_0" hidden="1">"U30681"</definedName>
    <definedName name="FDD_69_1" hidden="1">"A31047"</definedName>
    <definedName name="FDD_69_10" hidden="1">"A34334"</definedName>
    <definedName name="FDD_69_11" hidden="1">"A34699"</definedName>
    <definedName name="FDD_69_12" hidden="1">"A35064"</definedName>
    <definedName name="FDD_69_13" hidden="1">"A35430"</definedName>
    <definedName name="FDD_69_14" hidden="1">"A35795"</definedName>
    <definedName name="FDD_69_2" hidden="1">"A31412"</definedName>
    <definedName name="FDD_69_3" hidden="1">"A31777"</definedName>
    <definedName name="FDD_69_4" hidden="1">"A32142"</definedName>
    <definedName name="FDD_69_5" hidden="1">"A32508"</definedName>
    <definedName name="FDD_69_6" hidden="1">"A32873"</definedName>
    <definedName name="FDD_69_7" hidden="1">"A33238"</definedName>
    <definedName name="FDD_69_8" hidden="1">"A33603"</definedName>
    <definedName name="FDD_69_9" hidden="1">"A33969"</definedName>
    <definedName name="FDD_7_0" hidden="1">"A25569"</definedName>
    <definedName name="FDD_70_0" hidden="1">"A30681"</definedName>
    <definedName name="FDD_70_1" hidden="1">"A31047"</definedName>
    <definedName name="FDD_70_10" hidden="1">"A34334"</definedName>
    <definedName name="FDD_70_11" hidden="1">"A34699"</definedName>
    <definedName name="FDD_70_12" hidden="1">"A35064"</definedName>
    <definedName name="FDD_70_13" hidden="1">"A35430"</definedName>
    <definedName name="FDD_70_14" hidden="1">"A35795"</definedName>
    <definedName name="FDD_70_2" hidden="1">"A31412"</definedName>
    <definedName name="FDD_70_3" hidden="1">"A31777"</definedName>
    <definedName name="FDD_70_4" hidden="1">"A32142"</definedName>
    <definedName name="FDD_70_5" hidden="1">"A32508"</definedName>
    <definedName name="FDD_70_6" hidden="1">"A32873"</definedName>
    <definedName name="FDD_70_7" hidden="1">"A33238"</definedName>
    <definedName name="FDD_70_8" hidden="1">"A33603"</definedName>
    <definedName name="FDD_70_9" hidden="1">"A33969"</definedName>
    <definedName name="FDD_71_0" hidden="1">"A30681"</definedName>
    <definedName name="FDD_71_1" hidden="1">"A31047"</definedName>
    <definedName name="FDD_71_10" hidden="1">"A34334"</definedName>
    <definedName name="FDD_71_11" hidden="1">"A34699"</definedName>
    <definedName name="FDD_71_12" hidden="1">"A35064"</definedName>
    <definedName name="FDD_71_13" hidden="1">"A35430"</definedName>
    <definedName name="FDD_71_14" hidden="1">"A35795"</definedName>
    <definedName name="FDD_71_2" hidden="1">"A31412"</definedName>
    <definedName name="FDD_71_3" hidden="1">"A31777"</definedName>
    <definedName name="FDD_71_4" hidden="1">"A32142"</definedName>
    <definedName name="FDD_71_5" hidden="1">"A32508"</definedName>
    <definedName name="FDD_71_6" hidden="1">"A32873"</definedName>
    <definedName name="FDD_71_7" hidden="1">"A33238"</definedName>
    <definedName name="FDD_71_8" hidden="1">"A33603"</definedName>
    <definedName name="FDD_71_9" hidden="1">"A33969"</definedName>
    <definedName name="FDD_72_0" hidden="1">"A30681"</definedName>
    <definedName name="FDD_72_1" hidden="1">"A31047"</definedName>
    <definedName name="FDD_72_10" hidden="1">"A34334"</definedName>
    <definedName name="FDD_72_11" hidden="1">"A34699"</definedName>
    <definedName name="FDD_72_12" hidden="1">"A35064"</definedName>
    <definedName name="FDD_72_13" hidden="1">"A35430"</definedName>
    <definedName name="FDD_72_14" hidden="1">"A35795"</definedName>
    <definedName name="FDD_72_2" hidden="1">"A31412"</definedName>
    <definedName name="FDD_72_3" hidden="1">"A31777"</definedName>
    <definedName name="FDD_72_4" hidden="1">"A32142"</definedName>
    <definedName name="FDD_72_5" hidden="1">"A32508"</definedName>
    <definedName name="FDD_72_6" hidden="1">"A32873"</definedName>
    <definedName name="FDD_72_7" hidden="1">"A33238"</definedName>
    <definedName name="FDD_72_8" hidden="1">"A33603"</definedName>
    <definedName name="FDD_72_9" hidden="1">"A33969"</definedName>
    <definedName name="FDD_73_0" hidden="1">"A30681"</definedName>
    <definedName name="FDD_73_1" hidden="1">"A31047"</definedName>
    <definedName name="FDD_73_10" hidden="1">"A34334"</definedName>
    <definedName name="FDD_73_11" hidden="1">"A34699"</definedName>
    <definedName name="FDD_73_12" hidden="1">"A35064"</definedName>
    <definedName name="FDD_73_13" hidden="1">"A35430"</definedName>
    <definedName name="FDD_73_14" hidden="1">"A35795"</definedName>
    <definedName name="FDD_73_2" hidden="1">"A31412"</definedName>
    <definedName name="FDD_73_3" hidden="1">"A31777"</definedName>
    <definedName name="FDD_73_4" hidden="1">"A32142"</definedName>
    <definedName name="FDD_73_5" hidden="1">"A32508"</definedName>
    <definedName name="FDD_73_6" hidden="1">"A32873"</definedName>
    <definedName name="FDD_73_7" hidden="1">"A33238"</definedName>
    <definedName name="FDD_73_8" hidden="1">"A33603"</definedName>
    <definedName name="FDD_73_9" hidden="1">"A33969"</definedName>
    <definedName name="FDD_74_0" hidden="1">"A30681"</definedName>
    <definedName name="FDD_74_1" hidden="1">"A31047"</definedName>
    <definedName name="FDD_74_10" hidden="1">"A34334"</definedName>
    <definedName name="FDD_74_11" hidden="1">"A34699"</definedName>
    <definedName name="FDD_74_12" hidden="1">"A35064"</definedName>
    <definedName name="FDD_74_13" hidden="1">"A35430"</definedName>
    <definedName name="FDD_74_14" hidden="1">"A35795"</definedName>
    <definedName name="FDD_74_2" hidden="1">"A31412"</definedName>
    <definedName name="FDD_74_3" hidden="1">"A31777"</definedName>
    <definedName name="FDD_74_4" hidden="1">"A32142"</definedName>
    <definedName name="FDD_74_5" hidden="1">"A32508"</definedName>
    <definedName name="FDD_74_6" hidden="1">"A32873"</definedName>
    <definedName name="FDD_74_7" hidden="1">"A33238"</definedName>
    <definedName name="FDD_74_8" hidden="1">"A33603"</definedName>
    <definedName name="FDD_74_9" hidden="1">"A33969"</definedName>
    <definedName name="FDD_75_0" hidden="1">"A30681"</definedName>
    <definedName name="FDD_75_1" hidden="1">"A31047"</definedName>
    <definedName name="FDD_75_10" hidden="1">"A34334"</definedName>
    <definedName name="FDD_75_11" hidden="1">"A34699"</definedName>
    <definedName name="FDD_75_12" hidden="1">"A35064"</definedName>
    <definedName name="FDD_75_13" hidden="1">"A35430"</definedName>
    <definedName name="FDD_75_14" hidden="1">"A35795"</definedName>
    <definedName name="FDD_75_2" hidden="1">"A31412"</definedName>
    <definedName name="FDD_75_3" hidden="1">"A31777"</definedName>
    <definedName name="FDD_75_4" hidden="1">"A32142"</definedName>
    <definedName name="FDD_75_5" hidden="1">"A32508"</definedName>
    <definedName name="FDD_75_6" hidden="1">"A32873"</definedName>
    <definedName name="FDD_75_7" hidden="1">"A33238"</definedName>
    <definedName name="FDD_75_8" hidden="1">"A33603"</definedName>
    <definedName name="FDD_75_9" hidden="1">"A33969"</definedName>
    <definedName name="FDD_76_0" hidden="1">"A30681"</definedName>
    <definedName name="FDD_76_1" hidden="1">"A31047"</definedName>
    <definedName name="FDD_76_10" hidden="1">"A34334"</definedName>
    <definedName name="FDD_76_11" hidden="1">"A34699"</definedName>
    <definedName name="FDD_76_12" hidden="1">"A35064"</definedName>
    <definedName name="FDD_76_13" hidden="1">"A35430"</definedName>
    <definedName name="FDD_76_14" hidden="1">"A35795"</definedName>
    <definedName name="FDD_76_2" hidden="1">"A31412"</definedName>
    <definedName name="FDD_76_3" hidden="1">"A31777"</definedName>
    <definedName name="FDD_76_4" hidden="1">"A32142"</definedName>
    <definedName name="FDD_76_5" hidden="1">"A32508"</definedName>
    <definedName name="FDD_76_6" hidden="1">"A32873"</definedName>
    <definedName name="FDD_76_7" hidden="1">"A33238"</definedName>
    <definedName name="FDD_76_8" hidden="1">"A33603"</definedName>
    <definedName name="FDD_76_9" hidden="1">"A33969"</definedName>
    <definedName name="FDD_77_0" hidden="1">"A30681"</definedName>
    <definedName name="FDD_77_1" hidden="1">"A31047"</definedName>
    <definedName name="FDD_77_10" hidden="1">"A34334"</definedName>
    <definedName name="FDD_77_11" hidden="1">"A34699"</definedName>
    <definedName name="FDD_77_12" hidden="1">"A35064"</definedName>
    <definedName name="FDD_77_13" hidden="1">"A35430"</definedName>
    <definedName name="FDD_77_14" hidden="1">"A35795"</definedName>
    <definedName name="FDD_77_2" hidden="1">"A31412"</definedName>
    <definedName name="FDD_77_3" hidden="1">"A31777"</definedName>
    <definedName name="FDD_77_4" hidden="1">"A32142"</definedName>
    <definedName name="FDD_77_5" hidden="1">"A32508"</definedName>
    <definedName name="FDD_77_6" hidden="1">"A32873"</definedName>
    <definedName name="FDD_77_7" hidden="1">"A33238"</definedName>
    <definedName name="FDD_77_8" hidden="1">"A33603"</definedName>
    <definedName name="FDD_77_9" hidden="1">"A33969"</definedName>
    <definedName name="FDD_78_0" hidden="1">"A30681"</definedName>
    <definedName name="FDD_78_1" hidden="1">"A31047"</definedName>
    <definedName name="FDD_78_10" hidden="1">"A34334"</definedName>
    <definedName name="FDD_78_11" hidden="1">"A34699"</definedName>
    <definedName name="FDD_78_12" hidden="1">"A35064"</definedName>
    <definedName name="FDD_78_13" hidden="1">"A35430"</definedName>
    <definedName name="FDD_78_14" hidden="1">"A35795"</definedName>
    <definedName name="FDD_78_2" hidden="1">"A31412"</definedName>
    <definedName name="FDD_78_3" hidden="1">"A31777"</definedName>
    <definedName name="FDD_78_4" hidden="1">"A32142"</definedName>
    <definedName name="FDD_78_5" hidden="1">"A32508"</definedName>
    <definedName name="FDD_78_6" hidden="1">"A32873"</definedName>
    <definedName name="FDD_78_7" hidden="1">"A33238"</definedName>
    <definedName name="FDD_78_8" hidden="1">"A33603"</definedName>
    <definedName name="FDD_78_9" hidden="1">"A33969"</definedName>
    <definedName name="FDD_79_0" hidden="1">"A30681"</definedName>
    <definedName name="FDD_79_1" hidden="1">"A31047"</definedName>
    <definedName name="FDD_79_10" hidden="1">"A34334"</definedName>
    <definedName name="FDD_79_11" hidden="1">"A34699"</definedName>
    <definedName name="FDD_79_12" hidden="1">"A35064"</definedName>
    <definedName name="FDD_79_13" hidden="1">"A35430"</definedName>
    <definedName name="FDD_79_14" hidden="1">"A35795"</definedName>
    <definedName name="FDD_79_2" hidden="1">"A31412"</definedName>
    <definedName name="FDD_79_3" hidden="1">"A31777"</definedName>
    <definedName name="FDD_79_4" hidden="1">"A32142"</definedName>
    <definedName name="FDD_79_5" hidden="1">"A32508"</definedName>
    <definedName name="FDD_79_6" hidden="1">"A32873"</definedName>
    <definedName name="FDD_79_7" hidden="1">"A33238"</definedName>
    <definedName name="FDD_79_8" hidden="1">"A33603"</definedName>
    <definedName name="FDD_79_9" hidden="1">"A33969"</definedName>
    <definedName name="FDD_8_0" hidden="1">"A25569"</definedName>
    <definedName name="FDD_80_0" hidden="1">"A30681"</definedName>
    <definedName name="FDD_80_1" hidden="1">"A31047"</definedName>
    <definedName name="FDD_80_10" hidden="1">"A34334"</definedName>
    <definedName name="FDD_80_11" hidden="1">"A34699"</definedName>
    <definedName name="FDD_80_12" hidden="1">"A35064"</definedName>
    <definedName name="FDD_80_13" hidden="1">"A35430"</definedName>
    <definedName name="FDD_80_14" hidden="1">"A35795"</definedName>
    <definedName name="FDD_80_2" hidden="1">"A31412"</definedName>
    <definedName name="FDD_80_3" hidden="1">"A31777"</definedName>
    <definedName name="FDD_80_4" hidden="1">"A32142"</definedName>
    <definedName name="FDD_80_5" hidden="1">"A32508"</definedName>
    <definedName name="FDD_80_6" hidden="1">"A32873"</definedName>
    <definedName name="FDD_80_7" hidden="1">"A33238"</definedName>
    <definedName name="FDD_80_8" hidden="1">"A33603"</definedName>
    <definedName name="FDD_80_9" hidden="1">"A33969"</definedName>
    <definedName name="FDD_81_0" hidden="1">"A30681"</definedName>
    <definedName name="FDD_81_1" hidden="1">"A31047"</definedName>
    <definedName name="FDD_81_10" hidden="1">"A34334"</definedName>
    <definedName name="FDD_81_11" hidden="1">"A34699"</definedName>
    <definedName name="FDD_81_12" hidden="1">"A35064"</definedName>
    <definedName name="FDD_81_13" hidden="1">"A35430"</definedName>
    <definedName name="FDD_81_14" hidden="1">"A35795"</definedName>
    <definedName name="FDD_81_2" hidden="1">"A31412"</definedName>
    <definedName name="FDD_81_3" hidden="1">"A31777"</definedName>
    <definedName name="FDD_81_4" hidden="1">"A32142"</definedName>
    <definedName name="FDD_81_5" hidden="1">"A32508"</definedName>
    <definedName name="FDD_81_6" hidden="1">"A32873"</definedName>
    <definedName name="FDD_81_7" hidden="1">"A33238"</definedName>
    <definedName name="FDD_81_8" hidden="1">"A33603"</definedName>
    <definedName name="FDD_81_9" hidden="1">"A33969"</definedName>
    <definedName name="FDD_82_0" hidden="1">"A30681"</definedName>
    <definedName name="FDD_82_1" hidden="1">"A31047"</definedName>
    <definedName name="FDD_82_10" hidden="1">"A34334"</definedName>
    <definedName name="FDD_82_11" hidden="1">"A34699"</definedName>
    <definedName name="FDD_82_12" hidden="1">"A35064"</definedName>
    <definedName name="FDD_82_13" hidden="1">"A35430"</definedName>
    <definedName name="FDD_82_14" hidden="1">"A35795"</definedName>
    <definedName name="FDD_82_2" hidden="1">"A31412"</definedName>
    <definedName name="FDD_82_3" hidden="1">"A31777"</definedName>
    <definedName name="FDD_82_4" hidden="1">"A32142"</definedName>
    <definedName name="FDD_82_5" hidden="1">"A32508"</definedName>
    <definedName name="FDD_82_6" hidden="1">"A32873"</definedName>
    <definedName name="FDD_82_7" hidden="1">"A33238"</definedName>
    <definedName name="FDD_82_8" hidden="1">"A33603"</definedName>
    <definedName name="FDD_82_9" hidden="1">"A33969"</definedName>
    <definedName name="FDD_83_0" hidden="1">"A30681"</definedName>
    <definedName name="FDD_83_1" hidden="1">"A31047"</definedName>
    <definedName name="FDD_83_10" hidden="1">"A34334"</definedName>
    <definedName name="FDD_83_11" hidden="1">"A34699"</definedName>
    <definedName name="FDD_83_12" hidden="1">"A35064"</definedName>
    <definedName name="FDD_83_13" hidden="1">"A35430"</definedName>
    <definedName name="FDD_83_14" hidden="1">"A35795"</definedName>
    <definedName name="FDD_83_2" hidden="1">"A31412"</definedName>
    <definedName name="FDD_83_3" hidden="1">"A31777"</definedName>
    <definedName name="FDD_83_4" hidden="1">"A32142"</definedName>
    <definedName name="FDD_83_5" hidden="1">"A32508"</definedName>
    <definedName name="FDD_83_6" hidden="1">"A32873"</definedName>
    <definedName name="FDD_83_7" hidden="1">"A33238"</definedName>
    <definedName name="FDD_83_8" hidden="1">"A33603"</definedName>
    <definedName name="FDD_83_9" hidden="1">"A33969"</definedName>
    <definedName name="FDD_84_0" hidden="1">"A30681"</definedName>
    <definedName name="FDD_84_1" hidden="1">"A31047"</definedName>
    <definedName name="FDD_84_10" hidden="1">"A34334"</definedName>
    <definedName name="FDD_84_11" hidden="1">"A34699"</definedName>
    <definedName name="FDD_84_12" hidden="1">"A35064"</definedName>
    <definedName name="FDD_84_13" hidden="1">"A35430"</definedName>
    <definedName name="FDD_84_14" hidden="1">"A35795"</definedName>
    <definedName name="FDD_84_2" hidden="1">"A31412"</definedName>
    <definedName name="FDD_84_3" hidden="1">"A31777"</definedName>
    <definedName name="FDD_84_4" hidden="1">"A32142"</definedName>
    <definedName name="FDD_84_5" hidden="1">"A32508"</definedName>
    <definedName name="FDD_84_6" hidden="1">"A32873"</definedName>
    <definedName name="FDD_84_7" hidden="1">"A33238"</definedName>
    <definedName name="FDD_84_8" hidden="1">"A33603"</definedName>
    <definedName name="FDD_84_9" hidden="1">"A33969"</definedName>
    <definedName name="FDD_85_0" hidden="1">"A30681"</definedName>
    <definedName name="FDD_85_1" hidden="1">"A31047"</definedName>
    <definedName name="FDD_85_10" hidden="1">"A34334"</definedName>
    <definedName name="FDD_85_11" hidden="1">"A34699"</definedName>
    <definedName name="FDD_85_12" hidden="1">"A35064"</definedName>
    <definedName name="FDD_85_13" hidden="1">"A35430"</definedName>
    <definedName name="FDD_85_14" hidden="1">"A35795"</definedName>
    <definedName name="FDD_85_2" hidden="1">"A31412"</definedName>
    <definedName name="FDD_85_3" hidden="1">"A31777"</definedName>
    <definedName name="FDD_85_4" hidden="1">"A32142"</definedName>
    <definedName name="FDD_85_5" hidden="1">"A32508"</definedName>
    <definedName name="FDD_85_6" hidden="1">"A32873"</definedName>
    <definedName name="FDD_85_7" hidden="1">"A33238"</definedName>
    <definedName name="FDD_85_8" hidden="1">"A33603"</definedName>
    <definedName name="FDD_85_9" hidden="1">"A33969"</definedName>
    <definedName name="FDD_86_0" hidden="1">"A30681"</definedName>
    <definedName name="FDD_86_1" hidden="1">"A31047"</definedName>
    <definedName name="FDD_86_10" hidden="1">"A34334"</definedName>
    <definedName name="FDD_86_11" hidden="1">"A34699"</definedName>
    <definedName name="FDD_86_12" hidden="1">"A35064"</definedName>
    <definedName name="FDD_86_13" hidden="1">"A35430"</definedName>
    <definedName name="FDD_86_14" hidden="1">"A35795"</definedName>
    <definedName name="FDD_86_2" hidden="1">"A31412"</definedName>
    <definedName name="FDD_86_3" hidden="1">"A31777"</definedName>
    <definedName name="FDD_86_4" hidden="1">"A32142"</definedName>
    <definedName name="FDD_86_5" hidden="1">"A32508"</definedName>
    <definedName name="FDD_86_6" hidden="1">"A32873"</definedName>
    <definedName name="FDD_86_7" hidden="1">"A33238"</definedName>
    <definedName name="FDD_86_8" hidden="1">"A33603"</definedName>
    <definedName name="FDD_86_9" hidden="1">"A33969"</definedName>
    <definedName name="FDD_87_0" hidden="1">"A30681"</definedName>
    <definedName name="FDD_87_1" hidden="1">"A31047"</definedName>
    <definedName name="FDD_87_10" hidden="1">"A34334"</definedName>
    <definedName name="FDD_87_11" hidden="1">"A34699"</definedName>
    <definedName name="FDD_87_12" hidden="1">"A35064"</definedName>
    <definedName name="FDD_87_13" hidden="1">"A35430"</definedName>
    <definedName name="FDD_87_14" hidden="1">"A35795"</definedName>
    <definedName name="FDD_87_2" hidden="1">"A31412"</definedName>
    <definedName name="FDD_87_3" hidden="1">"A31777"</definedName>
    <definedName name="FDD_87_4" hidden="1">"A32142"</definedName>
    <definedName name="FDD_87_5" hidden="1">"A32508"</definedName>
    <definedName name="FDD_87_6" hidden="1">"A32873"</definedName>
    <definedName name="FDD_87_7" hidden="1">"A33238"</definedName>
    <definedName name="FDD_87_8" hidden="1">"A33603"</definedName>
    <definedName name="FDD_87_9" hidden="1">"A33969"</definedName>
    <definedName name="FDD_88_0" hidden="1">"A30681"</definedName>
    <definedName name="FDD_88_1" hidden="1">"A31047"</definedName>
    <definedName name="FDD_88_10" hidden="1">"A34334"</definedName>
    <definedName name="FDD_88_11" hidden="1">"A34699"</definedName>
    <definedName name="FDD_88_12" hidden="1">"A35064"</definedName>
    <definedName name="FDD_88_13" hidden="1">"A35430"</definedName>
    <definedName name="FDD_88_14" hidden="1">"A35795"</definedName>
    <definedName name="FDD_88_2" hidden="1">"A31412"</definedName>
    <definedName name="FDD_88_3" hidden="1">"A31777"</definedName>
    <definedName name="FDD_88_4" hidden="1">"A32142"</definedName>
    <definedName name="FDD_88_5" hidden="1">"A32508"</definedName>
    <definedName name="FDD_88_6" hidden="1">"A32873"</definedName>
    <definedName name="FDD_88_7" hidden="1">"A33238"</definedName>
    <definedName name="FDD_88_8" hidden="1">"A33603"</definedName>
    <definedName name="FDD_88_9" hidden="1">"A33969"</definedName>
    <definedName name="FDD_89_0" hidden="1">"A30681"</definedName>
    <definedName name="FDD_89_1" hidden="1">"A31047"</definedName>
    <definedName name="FDD_89_10" hidden="1">"A34334"</definedName>
    <definedName name="FDD_89_11" hidden="1">"A34699"</definedName>
    <definedName name="FDD_89_12" hidden="1">"A35064"</definedName>
    <definedName name="FDD_89_13" hidden="1">"A35430"</definedName>
    <definedName name="FDD_89_14" hidden="1">"A35795"</definedName>
    <definedName name="FDD_89_2" hidden="1">"A31412"</definedName>
    <definedName name="FDD_89_3" hidden="1">"A31777"</definedName>
    <definedName name="FDD_89_4" hidden="1">"A32142"</definedName>
    <definedName name="FDD_89_5" hidden="1">"A32508"</definedName>
    <definedName name="FDD_89_6" hidden="1">"A32873"</definedName>
    <definedName name="FDD_89_7" hidden="1">"A33238"</definedName>
    <definedName name="FDD_89_8" hidden="1">"A33603"</definedName>
    <definedName name="FDD_89_9" hidden="1">"A33969"</definedName>
    <definedName name="FDD_9_0" hidden="1">"A25569"</definedName>
    <definedName name="FDD_90_0" hidden="1">"A30681"</definedName>
    <definedName name="FDD_90_1" hidden="1">"A31047"</definedName>
    <definedName name="FDD_90_10" hidden="1">"A34334"</definedName>
    <definedName name="FDD_90_11" hidden="1">"A34699"</definedName>
    <definedName name="FDD_90_12" hidden="1">"A35064"</definedName>
    <definedName name="FDD_90_13" hidden="1">"A35430"</definedName>
    <definedName name="FDD_90_14" hidden="1">"A35795"</definedName>
    <definedName name="FDD_90_2" hidden="1">"A31412"</definedName>
    <definedName name="FDD_90_3" hidden="1">"A31777"</definedName>
    <definedName name="FDD_90_4" hidden="1">"A32142"</definedName>
    <definedName name="FDD_90_5" hidden="1">"A32508"</definedName>
    <definedName name="FDD_90_6" hidden="1">"A32873"</definedName>
    <definedName name="FDD_90_7" hidden="1">"A33238"</definedName>
    <definedName name="FDD_90_8" hidden="1">"A33603"</definedName>
    <definedName name="FDD_90_9" hidden="1">"A33969"</definedName>
    <definedName name="FDD_91_0" hidden="1">"A30681"</definedName>
    <definedName name="FDD_91_1" hidden="1">"A31047"</definedName>
    <definedName name="FDD_91_10" hidden="1">"A34334"</definedName>
    <definedName name="FDD_91_11" hidden="1">"A34699"</definedName>
    <definedName name="FDD_91_12" hidden="1">"A35064"</definedName>
    <definedName name="FDD_91_13" hidden="1">"A35430"</definedName>
    <definedName name="FDD_91_14" hidden="1">"A35795"</definedName>
    <definedName name="FDD_91_2" hidden="1">"A31412"</definedName>
    <definedName name="FDD_91_3" hidden="1">"A31777"</definedName>
    <definedName name="FDD_91_4" hidden="1">"A32142"</definedName>
    <definedName name="FDD_91_5" hidden="1">"A32508"</definedName>
    <definedName name="FDD_91_6" hidden="1">"A32873"</definedName>
    <definedName name="FDD_91_7" hidden="1">"A33238"</definedName>
    <definedName name="FDD_91_8" hidden="1">"A33603"</definedName>
    <definedName name="FDD_91_9" hidden="1">"A33969"</definedName>
    <definedName name="FDD_92_0" hidden="1">"A30681"</definedName>
    <definedName name="FDD_92_1" hidden="1">"A31047"</definedName>
    <definedName name="FDD_92_10" hidden="1">"A34334"</definedName>
    <definedName name="FDD_92_11" hidden="1">"A34699"</definedName>
    <definedName name="FDD_92_12" hidden="1">"A35064"</definedName>
    <definedName name="FDD_92_13" hidden="1">"A35430"</definedName>
    <definedName name="FDD_92_14" hidden="1">"A35795"</definedName>
    <definedName name="FDD_92_2" hidden="1">"A31412"</definedName>
    <definedName name="FDD_92_3" hidden="1">"A31777"</definedName>
    <definedName name="FDD_92_4" hidden="1">"A32142"</definedName>
    <definedName name="FDD_92_5" hidden="1">"A32508"</definedName>
    <definedName name="FDD_92_6" hidden="1">"A32873"</definedName>
    <definedName name="FDD_92_7" hidden="1">"A33238"</definedName>
    <definedName name="FDD_92_8" hidden="1">"A33603"</definedName>
    <definedName name="FDD_92_9" hidden="1">"A33969"</definedName>
    <definedName name="FDD_93_0" hidden="1">"A30681"</definedName>
    <definedName name="FDD_93_1" hidden="1">"A31047"</definedName>
    <definedName name="FDD_93_10" hidden="1">"A34334"</definedName>
    <definedName name="FDD_93_11" hidden="1">"A34699"</definedName>
    <definedName name="FDD_93_12" hidden="1">"A35064"</definedName>
    <definedName name="FDD_93_13" hidden="1">"A35430"</definedName>
    <definedName name="FDD_93_14" hidden="1">"A35795"</definedName>
    <definedName name="FDD_93_2" hidden="1">"A31412"</definedName>
    <definedName name="FDD_93_3" hidden="1">"A31777"</definedName>
    <definedName name="FDD_93_4" hidden="1">"A32142"</definedName>
    <definedName name="FDD_93_5" hidden="1">"A32508"</definedName>
    <definedName name="FDD_93_6" hidden="1">"A32873"</definedName>
    <definedName name="FDD_93_7" hidden="1">"A33238"</definedName>
    <definedName name="FDD_93_8" hidden="1">"A33603"</definedName>
    <definedName name="FDD_93_9" hidden="1">"A33969"</definedName>
    <definedName name="FDD_94_0" hidden="1">"A30681"</definedName>
    <definedName name="FDD_94_1" hidden="1">"A31047"</definedName>
    <definedName name="FDD_94_10" hidden="1">"A34334"</definedName>
    <definedName name="FDD_94_11" hidden="1">"A34699"</definedName>
    <definedName name="FDD_94_12" hidden="1">"A35064"</definedName>
    <definedName name="FDD_94_13" hidden="1">"A35430"</definedName>
    <definedName name="FDD_94_14" hidden="1">"A35795"</definedName>
    <definedName name="FDD_94_2" hidden="1">"A31412"</definedName>
    <definedName name="FDD_94_3" hidden="1">"A31777"</definedName>
    <definedName name="FDD_94_4" hidden="1">"A32142"</definedName>
    <definedName name="FDD_94_5" hidden="1">"A32508"</definedName>
    <definedName name="FDD_94_6" hidden="1">"A32873"</definedName>
    <definedName name="FDD_94_7" hidden="1">"A33238"</definedName>
    <definedName name="FDD_94_8" hidden="1">"A33603"</definedName>
    <definedName name="FDD_94_9" hidden="1">"A33969"</definedName>
    <definedName name="FDD_95_0" hidden="1">"A30681"</definedName>
    <definedName name="FDD_95_1" hidden="1">"A31047"</definedName>
    <definedName name="FDD_95_10" hidden="1">"A34334"</definedName>
    <definedName name="FDD_95_11" hidden="1">"A34699"</definedName>
    <definedName name="FDD_95_12" hidden="1">"A35064"</definedName>
    <definedName name="FDD_95_13" hidden="1">"A35430"</definedName>
    <definedName name="FDD_95_14" hidden="1">"A35795"</definedName>
    <definedName name="FDD_95_2" hidden="1">"A31412"</definedName>
    <definedName name="FDD_95_3" hidden="1">"A31777"</definedName>
    <definedName name="FDD_95_4" hidden="1">"A32142"</definedName>
    <definedName name="FDD_95_5" hidden="1">"A32508"</definedName>
    <definedName name="FDD_95_6" hidden="1">"A32873"</definedName>
    <definedName name="FDD_95_7" hidden="1">"A33238"</definedName>
    <definedName name="FDD_95_8" hidden="1">"A33603"</definedName>
    <definedName name="FDD_95_9" hidden="1">"A33969"</definedName>
    <definedName name="FDD_96_0" hidden="1">"U30681"</definedName>
    <definedName name="FDD_96_1" hidden="1">"A31047"</definedName>
    <definedName name="FDD_96_10" hidden="1">"A34334"</definedName>
    <definedName name="FDD_96_11" hidden="1">"A34699"</definedName>
    <definedName name="FDD_96_12" hidden="1">"A35064"</definedName>
    <definedName name="FDD_96_13" hidden="1">"A35430"</definedName>
    <definedName name="FDD_96_14" hidden="1">"A35795"</definedName>
    <definedName name="FDD_96_2" hidden="1">"A31412"</definedName>
    <definedName name="FDD_96_3" hidden="1">"A31777"</definedName>
    <definedName name="FDD_96_4" hidden="1">"A32142"</definedName>
    <definedName name="FDD_96_5" hidden="1">"A32508"</definedName>
    <definedName name="FDD_96_6" hidden="1">"A32873"</definedName>
    <definedName name="FDD_96_7" hidden="1">"A33238"</definedName>
    <definedName name="FDD_96_8" hidden="1">"A33603"</definedName>
    <definedName name="FDD_96_9" hidden="1">"A33969"</definedName>
    <definedName name="FDD_97_0" hidden="1">"U30681"</definedName>
    <definedName name="FDD_97_1" hidden="1">"A31047"</definedName>
    <definedName name="FDD_97_10" hidden="1">"A34334"</definedName>
    <definedName name="FDD_97_11" hidden="1">"A34699"</definedName>
    <definedName name="FDD_97_12" hidden="1">"A35064"</definedName>
    <definedName name="FDD_97_13" hidden="1">"A35430"</definedName>
    <definedName name="FDD_97_14" hidden="1">"A35795"</definedName>
    <definedName name="FDD_97_2" hidden="1">"A31412"</definedName>
    <definedName name="FDD_97_3" hidden="1">"A31777"</definedName>
    <definedName name="FDD_97_4" hidden="1">"A32142"</definedName>
    <definedName name="FDD_97_5" hidden="1">"A32508"</definedName>
    <definedName name="FDD_97_6" hidden="1">"A32873"</definedName>
    <definedName name="FDD_97_7" hidden="1">"A33238"</definedName>
    <definedName name="FDD_97_8" hidden="1">"A33603"</definedName>
    <definedName name="FDD_97_9" hidden="1">"A33969"</definedName>
    <definedName name="FDD_98_0" hidden="1">"U30681"</definedName>
    <definedName name="FDD_98_1" hidden="1">"A31047"</definedName>
    <definedName name="FDD_98_10" hidden="1">"A34334"</definedName>
    <definedName name="FDD_98_11" hidden="1">"A34699"</definedName>
    <definedName name="FDD_98_12" hidden="1">"A35064"</definedName>
    <definedName name="FDD_98_13" hidden="1">"A35430"</definedName>
    <definedName name="FDD_98_14" hidden="1">"A35795"</definedName>
    <definedName name="FDD_98_2" hidden="1">"A31412"</definedName>
    <definedName name="FDD_98_3" hidden="1">"A31777"</definedName>
    <definedName name="FDD_98_4" hidden="1">"A32142"</definedName>
    <definedName name="FDD_98_5" hidden="1">"A32508"</definedName>
    <definedName name="FDD_98_6" hidden="1">"A32873"</definedName>
    <definedName name="FDD_98_7" hidden="1">"A33238"</definedName>
    <definedName name="FDD_98_8" hidden="1">"A33603"</definedName>
    <definedName name="FDD_98_9" hidden="1">"A33969"</definedName>
    <definedName name="FDD_99_0" hidden="1">"U30681"</definedName>
    <definedName name="FDD_99_1" hidden="1">"A31047"</definedName>
    <definedName name="FDD_99_10" hidden="1">"A34334"</definedName>
    <definedName name="FDD_99_11" hidden="1">"A34699"</definedName>
    <definedName name="FDD_99_12" hidden="1">"A35064"</definedName>
    <definedName name="FDD_99_13" hidden="1">"A35430"</definedName>
    <definedName name="FDD_99_14" hidden="1">"A35795"</definedName>
    <definedName name="FDD_99_2" hidden="1">"A31412"</definedName>
    <definedName name="FDD_99_3" hidden="1">"A31777"</definedName>
    <definedName name="FDD_99_4" hidden="1">"A32142"</definedName>
    <definedName name="FDD_99_5" hidden="1">"A32508"</definedName>
    <definedName name="FDD_99_6" hidden="1">"A32873"</definedName>
    <definedName name="FDD_99_7" hidden="1">"A33238"</definedName>
    <definedName name="FDD_99_8" hidden="1">"A33603"</definedName>
    <definedName name="FDD_99_9" hidden="1">"A33969"</definedName>
    <definedName name="FDFDFDFDF" localSheetId="3" hidden="1">{"'gráf jan00'!$A$1:$AK$41"}</definedName>
    <definedName name="FDFDFDFDF" localSheetId="6" hidden="1">{"'gráf jan00'!$A$1:$AK$41"}</definedName>
    <definedName name="FDFDFDFDF" localSheetId="7" hidden="1">{"'gráf jan00'!$A$1:$AK$41"}</definedName>
    <definedName name="FDFDFDFDF" localSheetId="10" hidden="1">{"'gráf jan00'!$A$1:$AK$41"}</definedName>
    <definedName name="FDFDFDFDF" localSheetId="11" hidden="1">{"'gráf jan00'!$A$1:$AK$41"}</definedName>
    <definedName name="FDFDFDFDF" localSheetId="5" hidden="1">{"'gráf jan00'!$A$1:$AK$41"}</definedName>
    <definedName name="FDFDFDFDF" localSheetId="4" hidden="1">{"'gráf jan00'!$A$1:$AK$41"}</definedName>
    <definedName name="FDFDFDFDF" hidden="1">{"'gráf jan00'!$A$1:$AK$41"}</definedName>
    <definedName name="FDP_0_1_aUrv" hidden="1">#REF!</definedName>
    <definedName name="FDP_10_1_aDrv" localSheetId="3" hidden="1">#REF!</definedName>
    <definedName name="FDP_10_1_aDrv" localSheetId="7" hidden="1">#REF!</definedName>
    <definedName name="FDP_10_1_aDrv" hidden="1">#REF!</definedName>
    <definedName name="FDP_107_1_aUrv" localSheetId="3" hidden="1">#REF!</definedName>
    <definedName name="FDP_107_1_aUrv" localSheetId="7" hidden="1">#REF!</definedName>
    <definedName name="FDP_107_1_aUrv" hidden="1">#REF!</definedName>
    <definedName name="FDP_11_1_aDrv" localSheetId="3" hidden="1">#REF!</definedName>
    <definedName name="FDP_11_1_aDrv" localSheetId="7" hidden="1">#REF!</definedName>
    <definedName name="FDP_11_1_aDrv" hidden="1">#REF!</definedName>
    <definedName name="FDP_111_1_aUrv" localSheetId="3" hidden="1">#REF!</definedName>
    <definedName name="FDP_111_1_aUrv" localSheetId="7" hidden="1">#REF!</definedName>
    <definedName name="FDP_111_1_aUrv" hidden="1">#REF!</definedName>
    <definedName name="FDP_112_1_aUrv" localSheetId="3" hidden="1">#REF!</definedName>
    <definedName name="FDP_112_1_aUrv" localSheetId="7" hidden="1">#REF!</definedName>
    <definedName name="FDP_112_1_aUrv" hidden="1">#REF!</definedName>
    <definedName name="FDP_113_1_aUrv" localSheetId="3" hidden="1">#REF!</definedName>
    <definedName name="FDP_113_1_aUrv" localSheetId="7" hidden="1">#REF!</definedName>
    <definedName name="FDP_113_1_aUrv" hidden="1">#REF!</definedName>
    <definedName name="FDP_114_1_aUrv" localSheetId="3" hidden="1">#REF!</definedName>
    <definedName name="FDP_114_1_aUrv" localSheetId="7" hidden="1">#REF!</definedName>
    <definedName name="FDP_114_1_aUrv" hidden="1">#REF!</definedName>
    <definedName name="FDP_115_1_aUrv" localSheetId="3" hidden="1">#REF!</definedName>
    <definedName name="FDP_115_1_aUrv" localSheetId="7" hidden="1">#REF!</definedName>
    <definedName name="FDP_115_1_aUrv" hidden="1">#REF!</definedName>
    <definedName name="FDP_12_1_aDrv" localSheetId="3" hidden="1">#REF!</definedName>
    <definedName name="FDP_12_1_aDrv" localSheetId="7" hidden="1">#REF!</definedName>
    <definedName name="FDP_12_1_aDrv" hidden="1">#REF!</definedName>
    <definedName name="FDP_126_1_aUrv" localSheetId="3" hidden="1">#REF!</definedName>
    <definedName name="FDP_126_1_aUrv" localSheetId="7" hidden="1">#REF!</definedName>
    <definedName name="FDP_126_1_aUrv" hidden="1">#REF!</definedName>
    <definedName name="FDP_127_1_aUrv" localSheetId="3" hidden="1">#REF!</definedName>
    <definedName name="FDP_127_1_aUrv" localSheetId="7" hidden="1">#REF!</definedName>
    <definedName name="FDP_127_1_aUrv" hidden="1">#REF!</definedName>
    <definedName name="FDP_128_1_aUrv" localSheetId="3" hidden="1">#REF!</definedName>
    <definedName name="FDP_128_1_aUrv" localSheetId="7" hidden="1">#REF!</definedName>
    <definedName name="FDP_128_1_aUrv" hidden="1">#REF!</definedName>
    <definedName name="FDP_129_1_aUrv" localSheetId="3" hidden="1">#REF!</definedName>
    <definedName name="FDP_129_1_aUrv" localSheetId="7" hidden="1">#REF!</definedName>
    <definedName name="FDP_129_1_aUrv" hidden="1">#REF!</definedName>
    <definedName name="FDP_13_1_aDrv" localSheetId="3" hidden="1">#REF!</definedName>
    <definedName name="FDP_13_1_aDrv" localSheetId="7" hidden="1">#REF!</definedName>
    <definedName name="FDP_13_1_aDrv" hidden="1">#REF!</definedName>
    <definedName name="FDP_131_1_aDrv" localSheetId="3" hidden="1">#REF!</definedName>
    <definedName name="FDP_131_1_aDrv" localSheetId="7" hidden="1">#REF!</definedName>
    <definedName name="FDP_131_1_aDrv" hidden="1">#REF!</definedName>
    <definedName name="FDP_134_1_aDrv" localSheetId="3" hidden="1">#REF!</definedName>
    <definedName name="FDP_134_1_aDrv" localSheetId="7" hidden="1">#REF!</definedName>
    <definedName name="FDP_134_1_aDrv" hidden="1">#REF!</definedName>
    <definedName name="FDP_135_1_aDrv" localSheetId="3" hidden="1">#REF!</definedName>
    <definedName name="FDP_135_1_aDrv" localSheetId="7" hidden="1">#REF!</definedName>
    <definedName name="FDP_135_1_aDrv" hidden="1">#REF!</definedName>
    <definedName name="FDP_137_1_aDdv" localSheetId="3" hidden="1">#REF!</definedName>
    <definedName name="FDP_137_1_aDdv" localSheetId="7" hidden="1">#REF!</definedName>
    <definedName name="FDP_137_1_aDdv" hidden="1">#REF!</definedName>
    <definedName name="FDP_139_1_aUrv" localSheetId="3" hidden="1">#REF!</definedName>
    <definedName name="FDP_139_1_aUrv" localSheetId="7" hidden="1">#REF!</definedName>
    <definedName name="FDP_139_1_aUrv" hidden="1">#REF!</definedName>
    <definedName name="FDP_14_1_aDrv" localSheetId="3" hidden="1">#REF!</definedName>
    <definedName name="FDP_14_1_aDrv" localSheetId="7" hidden="1">#REF!</definedName>
    <definedName name="FDP_14_1_aDrv" hidden="1">#REF!</definedName>
    <definedName name="FDP_140_1_aUrv" localSheetId="3" hidden="1">#REF!</definedName>
    <definedName name="FDP_140_1_aUrv" localSheetId="7" hidden="1">#REF!</definedName>
    <definedName name="FDP_140_1_aUrv" hidden="1">#REF!</definedName>
    <definedName name="FDP_141_1_aUrv" localSheetId="3" hidden="1">#REF!</definedName>
    <definedName name="FDP_141_1_aUrv" localSheetId="7" hidden="1">#REF!</definedName>
    <definedName name="FDP_141_1_aUrv" hidden="1">#REF!</definedName>
    <definedName name="FDP_143_1_aUrv" localSheetId="3" hidden="1">#REF!</definedName>
    <definedName name="FDP_143_1_aUrv" localSheetId="7" hidden="1">#REF!</definedName>
    <definedName name="FDP_143_1_aUrv" hidden="1">#REF!</definedName>
    <definedName name="FDP_144_1_aUrv" localSheetId="3" hidden="1">#REF!</definedName>
    <definedName name="FDP_144_1_aUrv" localSheetId="7" hidden="1">#REF!</definedName>
    <definedName name="FDP_144_1_aUrv" hidden="1">#REF!</definedName>
    <definedName name="FDP_15_1_aDrv" localSheetId="3" hidden="1">#REF!</definedName>
    <definedName name="FDP_15_1_aDrv" localSheetId="7" hidden="1">#REF!</definedName>
    <definedName name="FDP_15_1_aDrv" hidden="1">#REF!</definedName>
    <definedName name="FDP_16_1_aDrv" localSheetId="3" hidden="1">#REF!</definedName>
    <definedName name="FDP_16_1_aDrv" localSheetId="7" hidden="1">#REF!</definedName>
    <definedName name="FDP_16_1_aDrv" hidden="1">#REF!</definedName>
    <definedName name="FDP_17_1_aDrv" localSheetId="3" hidden="1">#REF!</definedName>
    <definedName name="FDP_17_1_aDrv" localSheetId="7" hidden="1">#REF!</definedName>
    <definedName name="FDP_17_1_aDrv" hidden="1">#REF!</definedName>
    <definedName name="FDP_18_1_aDrv" localSheetId="3" hidden="1">#REF!</definedName>
    <definedName name="FDP_18_1_aDrv" localSheetId="7" hidden="1">#REF!</definedName>
    <definedName name="FDP_18_1_aDrv" hidden="1">#REF!</definedName>
    <definedName name="FDP_19_1_aDrv" localSheetId="3" hidden="1">#REF!</definedName>
    <definedName name="FDP_19_1_aDrv" localSheetId="7" hidden="1">#REF!</definedName>
    <definedName name="FDP_19_1_aDrv" hidden="1">#REF!</definedName>
    <definedName name="FDP_20_1_aUrv" localSheetId="3" hidden="1">#REF!</definedName>
    <definedName name="FDP_20_1_aUrv" localSheetId="7" hidden="1">#REF!</definedName>
    <definedName name="FDP_20_1_aUrv" hidden="1">#REF!</definedName>
    <definedName name="FDP_21_1_aUrv" localSheetId="3" hidden="1">#REF!</definedName>
    <definedName name="FDP_21_1_aUrv" localSheetId="7" hidden="1">#REF!</definedName>
    <definedName name="FDP_21_1_aUrv" hidden="1">#REF!</definedName>
    <definedName name="FDP_22_1_aUrv" localSheetId="3" hidden="1">#REF!</definedName>
    <definedName name="FDP_22_1_aUrv" localSheetId="7" hidden="1">#REF!</definedName>
    <definedName name="FDP_22_1_aUrv" hidden="1">#REF!</definedName>
    <definedName name="FDP_23_1_aUrv" localSheetId="3" hidden="1">#REF!</definedName>
    <definedName name="FDP_23_1_aUrv" localSheetId="7" hidden="1">#REF!</definedName>
    <definedName name="FDP_23_1_aUrv" hidden="1">#REF!</definedName>
    <definedName name="FDP_24_1_aUrv" localSheetId="3" hidden="1">#REF!</definedName>
    <definedName name="FDP_24_1_aUrv" localSheetId="7" hidden="1">#REF!</definedName>
    <definedName name="FDP_24_1_aUrv" hidden="1">#REF!</definedName>
    <definedName name="FDP_25_1_aUrv" localSheetId="3" hidden="1">#REF!</definedName>
    <definedName name="FDP_25_1_aUrv" localSheetId="7" hidden="1">#REF!</definedName>
    <definedName name="FDP_25_1_aUrv" hidden="1">#REF!</definedName>
    <definedName name="FDP_26_1_aUrv" localSheetId="3" hidden="1">#REF!</definedName>
    <definedName name="FDP_26_1_aUrv" localSheetId="7" hidden="1">#REF!</definedName>
    <definedName name="FDP_26_1_aUrv" hidden="1">#REF!</definedName>
    <definedName name="FDP_27_1_aUrv" localSheetId="3" hidden="1">#REF!</definedName>
    <definedName name="FDP_27_1_aUrv" localSheetId="7" hidden="1">#REF!</definedName>
    <definedName name="FDP_27_1_aUrv" hidden="1">#REF!</definedName>
    <definedName name="FDP_28_1_aUrv" localSheetId="3" hidden="1">#REF!</definedName>
    <definedName name="FDP_28_1_aUrv" localSheetId="7" hidden="1">#REF!</definedName>
    <definedName name="FDP_28_1_aUrv" hidden="1">#REF!</definedName>
    <definedName name="FDP_280_1_aSrv" localSheetId="3" hidden="1">[18]Forecasts_VDF!#REF!</definedName>
    <definedName name="FDP_280_1_aSrv" localSheetId="7" hidden="1">[18]Forecasts_VDF!#REF!</definedName>
    <definedName name="FDP_280_1_aSrv" hidden="1">[18]Forecasts_VDF!#REF!</definedName>
    <definedName name="FDP_281_1_aSrv" localSheetId="3" hidden="1">[18]Forecasts_VDF!#REF!</definedName>
    <definedName name="FDP_281_1_aSrv" localSheetId="7" hidden="1">[18]Forecasts_VDF!#REF!</definedName>
    <definedName name="FDP_281_1_aSrv" hidden="1">[18]Forecasts_VDF!#REF!</definedName>
    <definedName name="FDP_282_1_aSrv" localSheetId="3" hidden="1">[18]Forecasts_VDF!#REF!</definedName>
    <definedName name="FDP_282_1_aSrv" localSheetId="7" hidden="1">[18]Forecasts_VDF!#REF!</definedName>
    <definedName name="FDP_282_1_aSrv" hidden="1">[18]Forecasts_VDF!#REF!</definedName>
    <definedName name="FDP_283_1_aSrv" localSheetId="3" hidden="1">[18]Forecasts_VDF!#REF!</definedName>
    <definedName name="FDP_283_1_aSrv" localSheetId="7" hidden="1">[18]Forecasts_VDF!#REF!</definedName>
    <definedName name="FDP_283_1_aSrv" hidden="1">[18]Forecasts_VDF!#REF!</definedName>
    <definedName name="FDP_29_1_aUrv" localSheetId="3" hidden="1">#REF!</definedName>
    <definedName name="FDP_29_1_aUrv" localSheetId="6" hidden="1">#REF!</definedName>
    <definedName name="FDP_29_1_aUrv" localSheetId="7" hidden="1">#REF!</definedName>
    <definedName name="FDP_29_1_aUrv" localSheetId="10" hidden="1">#REF!</definedName>
    <definedName name="FDP_29_1_aUrv" localSheetId="11" hidden="1">#REF!</definedName>
    <definedName name="FDP_29_1_aUrv" hidden="1">#REF!</definedName>
    <definedName name="FDP_30_1_aUrv" localSheetId="3" hidden="1">#REF!</definedName>
    <definedName name="FDP_30_1_aUrv" localSheetId="6" hidden="1">#REF!</definedName>
    <definedName name="FDP_30_1_aUrv" localSheetId="7" hidden="1">#REF!</definedName>
    <definedName name="FDP_30_1_aUrv" localSheetId="10" hidden="1">#REF!</definedName>
    <definedName name="FDP_30_1_aUrv" hidden="1">#REF!</definedName>
    <definedName name="FDP_31_1_aUrv" localSheetId="3" hidden="1">#REF!</definedName>
    <definedName name="FDP_31_1_aUrv" localSheetId="7" hidden="1">#REF!</definedName>
    <definedName name="FDP_31_1_aUrv" localSheetId="10" hidden="1">#REF!</definedName>
    <definedName name="FDP_31_1_aUrv" hidden="1">#REF!</definedName>
    <definedName name="FDP_32_1_aUrv" localSheetId="3" hidden="1">#REF!</definedName>
    <definedName name="FDP_32_1_aUrv" localSheetId="7" hidden="1">#REF!</definedName>
    <definedName name="FDP_32_1_aUrv" hidden="1">#REF!</definedName>
    <definedName name="FDP_33_1_aUrv" localSheetId="3" hidden="1">#REF!</definedName>
    <definedName name="FDP_33_1_aUrv" localSheetId="7" hidden="1">#REF!</definedName>
    <definedName name="FDP_33_1_aUrv" hidden="1">#REF!</definedName>
    <definedName name="FDP_34_1_aUrv" localSheetId="3" hidden="1">#REF!</definedName>
    <definedName name="FDP_34_1_aUrv" localSheetId="7" hidden="1">#REF!</definedName>
    <definedName name="FDP_34_1_aUrv" hidden="1">#REF!</definedName>
    <definedName name="FDP_35_1_aUrv" localSheetId="3" hidden="1">#REF!</definedName>
    <definedName name="FDP_35_1_aUrv" localSheetId="7" hidden="1">#REF!</definedName>
    <definedName name="FDP_35_1_aUrv" hidden="1">#REF!</definedName>
    <definedName name="FDP_36_1_aUrv" localSheetId="3" hidden="1">#REF!</definedName>
    <definedName name="FDP_36_1_aUrv" localSheetId="7" hidden="1">#REF!</definedName>
    <definedName name="FDP_36_1_aUrv" hidden="1">#REF!</definedName>
    <definedName name="FDP_37_1_aUrv" localSheetId="3" hidden="1">#REF!</definedName>
    <definedName name="FDP_37_1_aUrv" localSheetId="7" hidden="1">#REF!</definedName>
    <definedName name="FDP_37_1_aUrv" hidden="1">#REF!</definedName>
    <definedName name="FDP_38_1_aUrv" localSheetId="3" hidden="1">#REF!</definedName>
    <definedName name="FDP_38_1_aUrv" localSheetId="7" hidden="1">#REF!</definedName>
    <definedName name="FDP_38_1_aUrv" hidden="1">#REF!</definedName>
    <definedName name="FDP_39_1_aUrv" localSheetId="3" hidden="1">#REF!</definedName>
    <definedName name="FDP_39_1_aUrv" localSheetId="7" hidden="1">#REF!</definedName>
    <definedName name="FDP_39_1_aUrv" hidden="1">#REF!</definedName>
    <definedName name="FDP_41_1_aUrv" localSheetId="3" hidden="1">#REF!</definedName>
    <definedName name="FDP_41_1_aUrv" localSheetId="7" hidden="1">#REF!</definedName>
    <definedName name="FDP_41_1_aUrv" hidden="1">#REF!</definedName>
    <definedName name="FDP_42_1_aUrv" localSheetId="3" hidden="1">#REF!</definedName>
    <definedName name="FDP_42_1_aUrv" localSheetId="7" hidden="1">#REF!</definedName>
    <definedName name="FDP_42_1_aUrv" hidden="1">#REF!</definedName>
    <definedName name="FDP_43_1_aUrv" localSheetId="3" hidden="1">#REF!</definedName>
    <definedName name="FDP_43_1_aUrv" localSheetId="7" hidden="1">#REF!</definedName>
    <definedName name="FDP_43_1_aUrv" hidden="1">#REF!</definedName>
    <definedName name="FDP_44_1_aUrv" localSheetId="3" hidden="1">#REF!</definedName>
    <definedName name="FDP_44_1_aUrv" localSheetId="7" hidden="1">#REF!</definedName>
    <definedName name="FDP_44_1_aUrv" hidden="1">#REF!</definedName>
    <definedName name="FDP_45_1_aUrv" localSheetId="3" hidden="1">#REF!</definedName>
    <definedName name="FDP_45_1_aUrv" localSheetId="7" hidden="1">#REF!</definedName>
    <definedName name="FDP_45_1_aUrv" hidden="1">#REF!</definedName>
    <definedName name="FDP_46_1_aUrv" localSheetId="3" hidden="1">#REF!</definedName>
    <definedName name="FDP_46_1_aUrv" localSheetId="7" hidden="1">#REF!</definedName>
    <definedName name="FDP_46_1_aUrv" hidden="1">#REF!</definedName>
    <definedName name="FDP_47_1_aUrv" localSheetId="3" hidden="1">#REF!</definedName>
    <definedName name="FDP_47_1_aUrv" localSheetId="7" hidden="1">#REF!</definedName>
    <definedName name="FDP_47_1_aUrv" hidden="1">#REF!</definedName>
    <definedName name="FDP_48_1_aUrv" localSheetId="3" hidden="1">#REF!</definedName>
    <definedName name="FDP_48_1_aUrv" localSheetId="7" hidden="1">#REF!</definedName>
    <definedName name="FDP_48_1_aUrv" hidden="1">#REF!</definedName>
    <definedName name="FDP_49_1_aUrv" localSheetId="3" hidden="1">#REF!</definedName>
    <definedName name="FDP_49_1_aUrv" localSheetId="7" hidden="1">#REF!</definedName>
    <definedName name="FDP_49_1_aUrv" hidden="1">#REF!</definedName>
    <definedName name="FDP_50_1_aUrv" localSheetId="3" hidden="1">#REF!</definedName>
    <definedName name="FDP_50_1_aUrv" localSheetId="7" hidden="1">#REF!</definedName>
    <definedName name="FDP_50_1_aUrv" hidden="1">#REF!</definedName>
    <definedName name="FDP_51_1_aUrv" localSheetId="3" hidden="1">#REF!</definedName>
    <definedName name="FDP_51_1_aUrv" localSheetId="7" hidden="1">#REF!</definedName>
    <definedName name="FDP_51_1_aUrv" hidden="1">#REF!</definedName>
    <definedName name="FDP_52_1_aUrv" localSheetId="3" hidden="1">#REF!</definedName>
    <definedName name="FDP_52_1_aUrv" localSheetId="7" hidden="1">#REF!</definedName>
    <definedName name="FDP_52_1_aUrv" hidden="1">#REF!</definedName>
    <definedName name="FDP_53_1_aUrv" localSheetId="3" hidden="1">#REF!</definedName>
    <definedName name="FDP_53_1_aUrv" localSheetId="7" hidden="1">#REF!</definedName>
    <definedName name="FDP_53_1_aUrv" hidden="1">#REF!</definedName>
    <definedName name="FDP_53_1_rUrv" localSheetId="3" hidden="1">#REF!</definedName>
    <definedName name="FDP_53_1_rUrv" localSheetId="7" hidden="1">#REF!</definedName>
    <definedName name="FDP_53_1_rUrv" hidden="1">#REF!</definedName>
    <definedName name="FDP_54_1_aUrv" localSheetId="3" hidden="1">#REF!</definedName>
    <definedName name="FDP_54_1_aUrv" localSheetId="7" hidden="1">#REF!</definedName>
    <definedName name="FDP_54_1_aUrv" hidden="1">#REF!</definedName>
    <definedName name="FDP_55_1_aUrv" localSheetId="3" hidden="1">#REF!</definedName>
    <definedName name="FDP_55_1_aUrv" localSheetId="7" hidden="1">#REF!</definedName>
    <definedName name="FDP_55_1_aUrv" hidden="1">#REF!</definedName>
    <definedName name="FDP_8_1_aDrv" localSheetId="3" hidden="1">#REF!</definedName>
    <definedName name="FDP_8_1_aDrv" localSheetId="7" hidden="1">#REF!</definedName>
    <definedName name="FDP_8_1_aDrv" hidden="1">#REF!</definedName>
    <definedName name="FDP_9_1_aDrv" localSheetId="3" hidden="1">#REF!</definedName>
    <definedName name="FDP_9_1_aDrv" localSheetId="7" hidden="1">#REF!</definedName>
    <definedName name="FDP_9_1_aDrv" hidden="1">#REF!</definedName>
    <definedName name="fds" localSheetId="3" hidden="1">{"'gráf jan00'!$A$1:$AK$41"}</definedName>
    <definedName name="fds" localSheetId="6" hidden="1">{"'gráf jan00'!$A$1:$AK$41"}</definedName>
    <definedName name="fds" localSheetId="7" hidden="1">{"'gráf jan00'!$A$1:$AK$41"}</definedName>
    <definedName name="fds" localSheetId="10" hidden="1">{"'gráf jan00'!$A$1:$AK$41"}</definedName>
    <definedName name="fds" localSheetId="11" hidden="1">{"'gráf jan00'!$A$1:$AK$41"}</definedName>
    <definedName name="fds" localSheetId="5" hidden="1">{"'gráf jan00'!$A$1:$AK$41"}</definedName>
    <definedName name="fds" localSheetId="4" hidden="1">{"'gráf jan00'!$A$1:$AK$41"}</definedName>
    <definedName name="fds" hidden="1">{"'gráf jan00'!$A$1:$AK$41"}</definedName>
    <definedName name="FDSFSD" localSheetId="3" hidden="1">{"'gráf jan00'!$A$1:$AK$41"}</definedName>
    <definedName name="FDSFSD" localSheetId="6" hidden="1">{"'gráf jan00'!$A$1:$AK$41"}</definedName>
    <definedName name="FDSFSD" localSheetId="7" hidden="1">{"'gráf jan00'!$A$1:$AK$41"}</definedName>
    <definedName name="FDSFSD" localSheetId="10" hidden="1">{"'gráf jan00'!$A$1:$AK$41"}</definedName>
    <definedName name="FDSFSD" localSheetId="11" hidden="1">{"'gráf jan00'!$A$1:$AK$41"}</definedName>
    <definedName name="FDSFSD" localSheetId="5" hidden="1">{"'gráf jan00'!$A$1:$AK$41"}</definedName>
    <definedName name="FDSFSD" localSheetId="4" hidden="1">{"'gráf jan00'!$A$1:$AK$41"}</definedName>
    <definedName name="FDSFSD" hidden="1">{"'gráf jan00'!$A$1:$AK$41"}</definedName>
    <definedName name="fegregtrtg" localSheetId="3"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fegregtrtg" localSheetId="6"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fegregtrtg" localSheetId="7"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fegregtrtg" localSheetId="10"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fegregtrtg" localSheetId="11"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fegregtrtg" localSheetId="5"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fegregtrtg" localSheetId="4"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fegregtrtg"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Fer" localSheetId="3"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Fer" localSheetId="6"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Fer" localSheetId="7"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Fer" localSheetId="10"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Fer" localSheetId="11"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Fer" localSheetId="5"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Fer" localSheetId="4"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Fer"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Fernanda" localSheetId="3" hidden="1">{#N/A,#N/A,TRUE,"indice";#N/A,#N/A,TRUE,"indicadores";#N/A,#N/A,TRUE,"comentarios"}</definedName>
    <definedName name="Fernanda" localSheetId="6" hidden="1">{#N/A,#N/A,TRUE,"indice";#N/A,#N/A,TRUE,"indicadores";#N/A,#N/A,TRUE,"comentarios"}</definedName>
    <definedName name="Fernanda" localSheetId="7" hidden="1">{#N/A,#N/A,TRUE,"indice";#N/A,#N/A,TRUE,"indicadores";#N/A,#N/A,TRUE,"comentarios"}</definedName>
    <definedName name="Fernanda" localSheetId="10" hidden="1">{#N/A,#N/A,TRUE,"indice";#N/A,#N/A,TRUE,"indicadores";#N/A,#N/A,TRUE,"comentarios"}</definedName>
    <definedName name="Fernanda" localSheetId="11" hidden="1">{#N/A,#N/A,TRUE,"indice";#N/A,#N/A,TRUE,"indicadores";#N/A,#N/A,TRUE,"comentarios"}</definedName>
    <definedName name="Fernanda" localSheetId="5" hidden="1">{#N/A,#N/A,TRUE,"indice";#N/A,#N/A,TRUE,"indicadores";#N/A,#N/A,TRUE,"comentarios"}</definedName>
    <definedName name="Fernanda" localSheetId="4" hidden="1">{#N/A,#N/A,TRUE,"indice";#N/A,#N/A,TRUE,"indicadores";#N/A,#N/A,TRUE,"comentarios"}</definedName>
    <definedName name="Fernanda" hidden="1">{#N/A,#N/A,TRUE,"indice";#N/A,#N/A,TRUE,"indicadores";#N/A,#N/A,TRUE,"comentarios"}</definedName>
    <definedName name="FERRAGENS">#N/A</definedName>
    <definedName name="Fevereiro" localSheetId="3" hidden="1">{"'Quadro'!$A$4:$BG$78"}</definedName>
    <definedName name="Fevereiro" localSheetId="6" hidden="1">{"'Quadro'!$A$4:$BG$78"}</definedName>
    <definedName name="Fevereiro" localSheetId="7" hidden="1">{"'Quadro'!$A$4:$BG$78"}</definedName>
    <definedName name="Fevereiro" localSheetId="10" hidden="1">{"'Quadro'!$A$4:$BG$78"}</definedName>
    <definedName name="Fevereiro" localSheetId="11" hidden="1">{"'Quadro'!$A$4:$BG$78"}</definedName>
    <definedName name="Fevereiro" localSheetId="5" hidden="1">{"'Quadro'!$A$4:$BG$78"}</definedName>
    <definedName name="Fevereiro" localSheetId="4" hidden="1">{"'Quadro'!$A$4:$BG$78"}</definedName>
    <definedName name="Fevereiro" hidden="1">{"'Quadro'!$A$4:$BG$78"}</definedName>
    <definedName name="FF" localSheetId="3" hidden="1">{#N/A,#N/A,FALSE,"GERAL";#N/A,#N/A,FALSE,"012-96";#N/A,#N/A,FALSE,"018-96";#N/A,#N/A,FALSE,"027-96";#N/A,#N/A,FALSE,"059-96";#N/A,#N/A,FALSE,"076-96";#N/A,#N/A,FALSE,"019-97";#N/A,#N/A,FALSE,"021-97";#N/A,#N/A,FALSE,"022-97";#N/A,#N/A,FALSE,"028-97"}</definedName>
    <definedName name="FF" localSheetId="6" hidden="1">{#N/A,#N/A,FALSE,"GERAL";#N/A,#N/A,FALSE,"012-96";#N/A,#N/A,FALSE,"018-96";#N/A,#N/A,FALSE,"027-96";#N/A,#N/A,FALSE,"059-96";#N/A,#N/A,FALSE,"076-96";#N/A,#N/A,FALSE,"019-97";#N/A,#N/A,FALSE,"021-97";#N/A,#N/A,FALSE,"022-97";#N/A,#N/A,FALSE,"028-97"}</definedName>
    <definedName name="FF" localSheetId="7" hidden="1">{#N/A,#N/A,FALSE,"GERAL";#N/A,#N/A,FALSE,"012-96";#N/A,#N/A,FALSE,"018-96";#N/A,#N/A,FALSE,"027-96";#N/A,#N/A,FALSE,"059-96";#N/A,#N/A,FALSE,"076-96";#N/A,#N/A,FALSE,"019-97";#N/A,#N/A,FALSE,"021-97";#N/A,#N/A,FALSE,"022-97";#N/A,#N/A,FALSE,"028-97"}</definedName>
    <definedName name="FF" localSheetId="10" hidden="1">{#N/A,#N/A,FALSE,"GERAL";#N/A,#N/A,FALSE,"012-96";#N/A,#N/A,FALSE,"018-96";#N/A,#N/A,FALSE,"027-96";#N/A,#N/A,FALSE,"059-96";#N/A,#N/A,FALSE,"076-96";#N/A,#N/A,FALSE,"019-97";#N/A,#N/A,FALSE,"021-97";#N/A,#N/A,FALSE,"022-97";#N/A,#N/A,FALSE,"028-97"}</definedName>
    <definedName name="FF" localSheetId="11" hidden="1">{#N/A,#N/A,FALSE,"GERAL";#N/A,#N/A,FALSE,"012-96";#N/A,#N/A,FALSE,"018-96";#N/A,#N/A,FALSE,"027-96";#N/A,#N/A,FALSE,"059-96";#N/A,#N/A,FALSE,"076-96";#N/A,#N/A,FALSE,"019-97";#N/A,#N/A,FALSE,"021-97";#N/A,#N/A,FALSE,"022-97";#N/A,#N/A,FALSE,"028-97"}</definedName>
    <definedName name="FF" localSheetId="5" hidden="1">{#N/A,#N/A,FALSE,"GERAL";#N/A,#N/A,FALSE,"012-96";#N/A,#N/A,FALSE,"018-96";#N/A,#N/A,FALSE,"027-96";#N/A,#N/A,FALSE,"059-96";#N/A,#N/A,FALSE,"076-96";#N/A,#N/A,FALSE,"019-97";#N/A,#N/A,FALSE,"021-97";#N/A,#N/A,FALSE,"022-97";#N/A,#N/A,FALSE,"028-97"}</definedName>
    <definedName name="FF" localSheetId="4" hidden="1">{#N/A,#N/A,FALSE,"GERAL";#N/A,#N/A,FALSE,"012-96";#N/A,#N/A,FALSE,"018-96";#N/A,#N/A,FALSE,"027-96";#N/A,#N/A,FALSE,"059-96";#N/A,#N/A,FALSE,"076-96";#N/A,#N/A,FALSE,"019-97";#N/A,#N/A,FALSE,"021-97";#N/A,#N/A,FALSE,"022-97";#N/A,#N/A,FALSE,"028-97"}</definedName>
    <definedName name="FF" hidden="1">{#N/A,#N/A,FALSE,"GERAL";#N/A,#N/A,FALSE,"012-96";#N/A,#N/A,FALSE,"018-96";#N/A,#N/A,FALSE,"027-96";#N/A,#N/A,FALSE,"059-96";#N/A,#N/A,FALSE,"076-96";#N/A,#N/A,FALSE,"019-97";#N/A,#N/A,FALSE,"021-97";#N/A,#N/A,FALSE,"022-97";#N/A,#N/A,FALSE,"028-97"}</definedName>
    <definedName name="fffff" localSheetId="3" hidden="1">#REF!</definedName>
    <definedName name="fffff" localSheetId="6" hidden="1">#REF!</definedName>
    <definedName name="fffff" localSheetId="7" hidden="1">#REF!</definedName>
    <definedName name="fffff" localSheetId="10" hidden="1">#REF!</definedName>
    <definedName name="fffff" localSheetId="11" hidden="1">#REF!</definedName>
    <definedName name="fffff" hidden="1">#REF!</definedName>
    <definedName name="FFVP" localSheetId="3" hidden="1">{"'gráf jan00'!$A$1:$AK$41"}</definedName>
    <definedName name="FFVP" localSheetId="6" hidden="1">{"'gráf jan00'!$A$1:$AK$41"}</definedName>
    <definedName name="FFVP" localSheetId="7" hidden="1">{"'gráf jan00'!$A$1:$AK$41"}</definedName>
    <definedName name="FFVP" localSheetId="10" hidden="1">{"'gráf jan00'!$A$1:$AK$41"}</definedName>
    <definedName name="FFVP" localSheetId="11" hidden="1">{"'gráf jan00'!$A$1:$AK$41"}</definedName>
    <definedName name="FFVP" localSheetId="5" hidden="1">{"'gráf jan00'!$A$1:$AK$41"}</definedName>
    <definedName name="FFVP" localSheetId="4" hidden="1">{"'gráf jan00'!$A$1:$AK$41"}</definedName>
    <definedName name="FFVP" hidden="1">{"'gráf jan00'!$A$1:$AK$41"}</definedName>
    <definedName name="FFVP1" localSheetId="3" hidden="1">{"'gráf jan00'!$A$1:$AK$41"}</definedName>
    <definedName name="FFVP1" localSheetId="6" hidden="1">{"'gráf jan00'!$A$1:$AK$41"}</definedName>
    <definedName name="FFVP1" localSheetId="7" hidden="1">{"'gráf jan00'!$A$1:$AK$41"}</definedName>
    <definedName name="FFVP1" localSheetId="10" hidden="1">{"'gráf jan00'!$A$1:$AK$41"}</definedName>
    <definedName name="FFVP1" localSheetId="11" hidden="1">{"'gráf jan00'!$A$1:$AK$41"}</definedName>
    <definedName name="FFVP1" localSheetId="5" hidden="1">{"'gráf jan00'!$A$1:$AK$41"}</definedName>
    <definedName name="FFVP1" localSheetId="4" hidden="1">{"'gráf jan00'!$A$1:$AK$41"}</definedName>
    <definedName name="FFVP1" hidden="1">{"'gráf jan00'!$A$1:$AK$41"}</definedName>
    <definedName name="FFVP10" localSheetId="3" hidden="1">{"'gráf jan00'!$A$1:$AK$41"}</definedName>
    <definedName name="FFVP10" localSheetId="6" hidden="1">{"'gráf jan00'!$A$1:$AK$41"}</definedName>
    <definedName name="FFVP10" localSheetId="7" hidden="1">{"'gráf jan00'!$A$1:$AK$41"}</definedName>
    <definedName name="FFVP10" localSheetId="10" hidden="1">{"'gráf jan00'!$A$1:$AK$41"}</definedName>
    <definedName name="FFVP10" localSheetId="11" hidden="1">{"'gráf jan00'!$A$1:$AK$41"}</definedName>
    <definedName name="FFVP10" localSheetId="5" hidden="1">{"'gráf jan00'!$A$1:$AK$41"}</definedName>
    <definedName name="FFVP10" localSheetId="4" hidden="1">{"'gráf jan00'!$A$1:$AK$41"}</definedName>
    <definedName name="FFVP10" hidden="1">{"'gráf jan00'!$A$1:$AK$41"}</definedName>
    <definedName name="FFVP11" localSheetId="3" hidden="1">{"'gráf jan00'!$A$1:$AK$41"}</definedName>
    <definedName name="FFVP11" localSheetId="6" hidden="1">{"'gráf jan00'!$A$1:$AK$41"}</definedName>
    <definedName name="FFVP11" localSheetId="7" hidden="1">{"'gráf jan00'!$A$1:$AK$41"}</definedName>
    <definedName name="FFVP11" localSheetId="10" hidden="1">{"'gráf jan00'!$A$1:$AK$41"}</definedName>
    <definedName name="FFVP11" localSheetId="11" hidden="1">{"'gráf jan00'!$A$1:$AK$41"}</definedName>
    <definedName name="FFVP11" localSheetId="5" hidden="1">{"'gráf jan00'!$A$1:$AK$41"}</definedName>
    <definedName name="FFVP11" localSheetId="4" hidden="1">{"'gráf jan00'!$A$1:$AK$41"}</definedName>
    <definedName name="FFVP11" hidden="1">{"'gráf jan00'!$A$1:$AK$41"}</definedName>
    <definedName name="FFVP12" localSheetId="3" hidden="1">{"'gráf jan00'!$A$1:$AK$41"}</definedName>
    <definedName name="FFVP12" localSheetId="6" hidden="1">{"'gráf jan00'!$A$1:$AK$41"}</definedName>
    <definedName name="FFVP12" localSheetId="7" hidden="1">{"'gráf jan00'!$A$1:$AK$41"}</definedName>
    <definedName name="FFVP12" localSheetId="10" hidden="1">{"'gráf jan00'!$A$1:$AK$41"}</definedName>
    <definedName name="FFVP12" localSheetId="11" hidden="1">{"'gráf jan00'!$A$1:$AK$41"}</definedName>
    <definedName name="FFVP12" localSheetId="5" hidden="1">{"'gráf jan00'!$A$1:$AK$41"}</definedName>
    <definedName name="FFVP12" localSheetId="4" hidden="1">{"'gráf jan00'!$A$1:$AK$41"}</definedName>
    <definedName name="FFVP12" hidden="1">{"'gráf jan00'!$A$1:$AK$41"}</definedName>
    <definedName name="FFVP13" localSheetId="3" hidden="1">{"'gráf jan00'!$A$1:$AK$41"}</definedName>
    <definedName name="FFVP13" localSheetId="6" hidden="1">{"'gráf jan00'!$A$1:$AK$41"}</definedName>
    <definedName name="FFVP13" localSheetId="7" hidden="1">{"'gráf jan00'!$A$1:$AK$41"}</definedName>
    <definedName name="FFVP13" localSheetId="10" hidden="1">{"'gráf jan00'!$A$1:$AK$41"}</definedName>
    <definedName name="FFVP13" localSheetId="11" hidden="1">{"'gráf jan00'!$A$1:$AK$41"}</definedName>
    <definedName name="FFVP13" localSheetId="5" hidden="1">{"'gráf jan00'!$A$1:$AK$41"}</definedName>
    <definedName name="FFVP13" localSheetId="4" hidden="1">{"'gráf jan00'!$A$1:$AK$41"}</definedName>
    <definedName name="FFVP13" hidden="1">{"'gráf jan00'!$A$1:$AK$41"}</definedName>
    <definedName name="FFVP14" localSheetId="3" hidden="1">{"'gráf jan00'!$A$1:$AK$41"}</definedName>
    <definedName name="FFVP14" localSheetId="6" hidden="1">{"'gráf jan00'!$A$1:$AK$41"}</definedName>
    <definedName name="FFVP14" localSheetId="7" hidden="1">{"'gráf jan00'!$A$1:$AK$41"}</definedName>
    <definedName name="FFVP14" localSheetId="10" hidden="1">{"'gráf jan00'!$A$1:$AK$41"}</definedName>
    <definedName name="FFVP14" localSheetId="11" hidden="1">{"'gráf jan00'!$A$1:$AK$41"}</definedName>
    <definedName name="FFVP14" localSheetId="5" hidden="1">{"'gráf jan00'!$A$1:$AK$41"}</definedName>
    <definedName name="FFVP14" localSheetId="4" hidden="1">{"'gráf jan00'!$A$1:$AK$41"}</definedName>
    <definedName name="FFVP14" hidden="1">{"'gráf jan00'!$A$1:$AK$41"}</definedName>
    <definedName name="FFVP15" localSheetId="3" hidden="1">{"'gráf jan00'!$A$1:$AK$41"}</definedName>
    <definedName name="FFVP15" localSheetId="6" hidden="1">{"'gráf jan00'!$A$1:$AK$41"}</definedName>
    <definedName name="FFVP15" localSheetId="7" hidden="1">{"'gráf jan00'!$A$1:$AK$41"}</definedName>
    <definedName name="FFVP15" localSheetId="10" hidden="1">{"'gráf jan00'!$A$1:$AK$41"}</definedName>
    <definedName name="FFVP15" localSheetId="11" hidden="1">{"'gráf jan00'!$A$1:$AK$41"}</definedName>
    <definedName name="FFVP15" localSheetId="5" hidden="1">{"'gráf jan00'!$A$1:$AK$41"}</definedName>
    <definedName name="FFVP15" localSheetId="4" hidden="1">{"'gráf jan00'!$A$1:$AK$41"}</definedName>
    <definedName name="FFVP15" hidden="1">{"'gráf jan00'!$A$1:$AK$41"}</definedName>
    <definedName name="FFVP16" localSheetId="3" hidden="1">{"'gráf jan00'!$A$1:$AK$41"}</definedName>
    <definedName name="FFVP16" localSheetId="6" hidden="1">{"'gráf jan00'!$A$1:$AK$41"}</definedName>
    <definedName name="FFVP16" localSheetId="7" hidden="1">{"'gráf jan00'!$A$1:$AK$41"}</definedName>
    <definedName name="FFVP16" localSheetId="10" hidden="1">{"'gráf jan00'!$A$1:$AK$41"}</definedName>
    <definedName name="FFVP16" localSheetId="11" hidden="1">{"'gráf jan00'!$A$1:$AK$41"}</definedName>
    <definedName name="FFVP16" localSheetId="5" hidden="1">{"'gráf jan00'!$A$1:$AK$41"}</definedName>
    <definedName name="FFVP16" localSheetId="4" hidden="1">{"'gráf jan00'!$A$1:$AK$41"}</definedName>
    <definedName name="FFVP16" hidden="1">{"'gráf jan00'!$A$1:$AK$41"}</definedName>
    <definedName name="FFVP2" localSheetId="3" hidden="1">{"'gráf jan00'!$A$1:$AK$41"}</definedName>
    <definedName name="FFVP2" localSheetId="6" hidden="1">{"'gráf jan00'!$A$1:$AK$41"}</definedName>
    <definedName name="FFVP2" localSheetId="7" hidden="1">{"'gráf jan00'!$A$1:$AK$41"}</definedName>
    <definedName name="FFVP2" localSheetId="10" hidden="1">{"'gráf jan00'!$A$1:$AK$41"}</definedName>
    <definedName name="FFVP2" localSheetId="11" hidden="1">{"'gráf jan00'!$A$1:$AK$41"}</definedName>
    <definedName name="FFVP2" localSheetId="5" hidden="1">{"'gráf jan00'!$A$1:$AK$41"}</definedName>
    <definedName name="FFVP2" localSheetId="4" hidden="1">{"'gráf jan00'!$A$1:$AK$41"}</definedName>
    <definedName name="FFVP2" hidden="1">{"'gráf jan00'!$A$1:$AK$41"}</definedName>
    <definedName name="FFVP3" localSheetId="3" hidden="1">{"'gráf jan00'!$A$1:$AK$41"}</definedName>
    <definedName name="FFVP3" localSheetId="6" hidden="1">{"'gráf jan00'!$A$1:$AK$41"}</definedName>
    <definedName name="FFVP3" localSheetId="7" hidden="1">{"'gráf jan00'!$A$1:$AK$41"}</definedName>
    <definedName name="FFVP3" localSheetId="10" hidden="1">{"'gráf jan00'!$A$1:$AK$41"}</definedName>
    <definedName name="FFVP3" localSheetId="11" hidden="1">{"'gráf jan00'!$A$1:$AK$41"}</definedName>
    <definedName name="FFVP3" localSheetId="5" hidden="1">{"'gráf jan00'!$A$1:$AK$41"}</definedName>
    <definedName name="FFVP3" localSheetId="4" hidden="1">{"'gráf jan00'!$A$1:$AK$41"}</definedName>
    <definedName name="FFVP3" hidden="1">{"'gráf jan00'!$A$1:$AK$41"}</definedName>
    <definedName name="FFVP4" localSheetId="3" hidden="1">{"'gráf jan00'!$A$1:$AK$41"}</definedName>
    <definedName name="FFVP4" localSheetId="6" hidden="1">{"'gráf jan00'!$A$1:$AK$41"}</definedName>
    <definedName name="FFVP4" localSheetId="7" hidden="1">{"'gráf jan00'!$A$1:$AK$41"}</definedName>
    <definedName name="FFVP4" localSheetId="10" hidden="1">{"'gráf jan00'!$A$1:$AK$41"}</definedName>
    <definedName name="FFVP4" localSheetId="11" hidden="1">{"'gráf jan00'!$A$1:$AK$41"}</definedName>
    <definedName name="FFVP4" localSheetId="5" hidden="1">{"'gráf jan00'!$A$1:$AK$41"}</definedName>
    <definedName name="FFVP4" localSheetId="4" hidden="1">{"'gráf jan00'!$A$1:$AK$41"}</definedName>
    <definedName name="FFVP4" hidden="1">{"'gráf jan00'!$A$1:$AK$41"}</definedName>
    <definedName name="ffvp43" localSheetId="3" hidden="1">{"'gráf jan00'!$A$1:$AK$41"}</definedName>
    <definedName name="ffvp43" localSheetId="6" hidden="1">{"'gráf jan00'!$A$1:$AK$41"}</definedName>
    <definedName name="ffvp43" localSheetId="7" hidden="1">{"'gráf jan00'!$A$1:$AK$41"}</definedName>
    <definedName name="ffvp43" localSheetId="10" hidden="1">{"'gráf jan00'!$A$1:$AK$41"}</definedName>
    <definedName name="ffvp43" localSheetId="11" hidden="1">{"'gráf jan00'!$A$1:$AK$41"}</definedName>
    <definedName name="ffvp43" localSheetId="5" hidden="1">{"'gráf jan00'!$A$1:$AK$41"}</definedName>
    <definedName name="ffvp43" localSheetId="4" hidden="1">{"'gráf jan00'!$A$1:$AK$41"}</definedName>
    <definedName name="ffvp43" hidden="1">{"'gráf jan00'!$A$1:$AK$41"}</definedName>
    <definedName name="FFVP5" localSheetId="3" hidden="1">{"'gráf jan00'!$A$1:$AK$41"}</definedName>
    <definedName name="FFVP5" localSheetId="6" hidden="1">{"'gráf jan00'!$A$1:$AK$41"}</definedName>
    <definedName name="FFVP5" localSheetId="7" hidden="1">{"'gráf jan00'!$A$1:$AK$41"}</definedName>
    <definedName name="FFVP5" localSheetId="10" hidden="1">{"'gráf jan00'!$A$1:$AK$41"}</definedName>
    <definedName name="FFVP5" localSheetId="11" hidden="1">{"'gráf jan00'!$A$1:$AK$41"}</definedName>
    <definedName name="FFVP5" localSheetId="5" hidden="1">{"'gráf jan00'!$A$1:$AK$41"}</definedName>
    <definedName name="FFVP5" localSheetId="4" hidden="1">{"'gráf jan00'!$A$1:$AK$41"}</definedName>
    <definedName name="FFVP5" hidden="1">{"'gráf jan00'!$A$1:$AK$41"}</definedName>
    <definedName name="FFVP6" localSheetId="3" hidden="1">{"'gráf jan00'!$A$1:$AK$41"}</definedName>
    <definedName name="FFVP6" localSheetId="6" hidden="1">{"'gráf jan00'!$A$1:$AK$41"}</definedName>
    <definedName name="FFVP6" localSheetId="7" hidden="1">{"'gráf jan00'!$A$1:$AK$41"}</definedName>
    <definedName name="FFVP6" localSheetId="10" hidden="1">{"'gráf jan00'!$A$1:$AK$41"}</definedName>
    <definedName name="FFVP6" localSheetId="11" hidden="1">{"'gráf jan00'!$A$1:$AK$41"}</definedName>
    <definedName name="FFVP6" localSheetId="5" hidden="1">{"'gráf jan00'!$A$1:$AK$41"}</definedName>
    <definedName name="FFVP6" localSheetId="4" hidden="1">{"'gráf jan00'!$A$1:$AK$41"}</definedName>
    <definedName name="FFVP6" hidden="1">{"'gráf jan00'!$A$1:$AK$41"}</definedName>
    <definedName name="FFVP7" localSheetId="3" hidden="1">{"'gráf jan00'!$A$1:$AK$41"}</definedName>
    <definedName name="FFVP7" localSheetId="6" hidden="1">{"'gráf jan00'!$A$1:$AK$41"}</definedName>
    <definedName name="FFVP7" localSheetId="7" hidden="1">{"'gráf jan00'!$A$1:$AK$41"}</definedName>
    <definedName name="FFVP7" localSheetId="10" hidden="1">{"'gráf jan00'!$A$1:$AK$41"}</definedName>
    <definedName name="FFVP7" localSheetId="11" hidden="1">{"'gráf jan00'!$A$1:$AK$41"}</definedName>
    <definedName name="FFVP7" localSheetId="5" hidden="1">{"'gráf jan00'!$A$1:$AK$41"}</definedName>
    <definedName name="FFVP7" localSheetId="4" hidden="1">{"'gráf jan00'!$A$1:$AK$41"}</definedName>
    <definedName name="FFVP7" hidden="1">{"'gráf jan00'!$A$1:$AK$41"}</definedName>
    <definedName name="FFVP8" localSheetId="3" hidden="1">{"'gráf jan00'!$A$1:$AK$41"}</definedName>
    <definedName name="FFVP8" localSheetId="6" hidden="1">{"'gráf jan00'!$A$1:$AK$41"}</definedName>
    <definedName name="FFVP8" localSheetId="7" hidden="1">{"'gráf jan00'!$A$1:$AK$41"}</definedName>
    <definedName name="FFVP8" localSheetId="10" hidden="1">{"'gráf jan00'!$A$1:$AK$41"}</definedName>
    <definedName name="FFVP8" localSheetId="11" hidden="1">{"'gráf jan00'!$A$1:$AK$41"}</definedName>
    <definedName name="FFVP8" localSheetId="5" hidden="1">{"'gráf jan00'!$A$1:$AK$41"}</definedName>
    <definedName name="FFVP8" localSheetId="4" hidden="1">{"'gráf jan00'!$A$1:$AK$41"}</definedName>
    <definedName name="FFVP8" hidden="1">{"'gráf jan00'!$A$1:$AK$41"}</definedName>
    <definedName name="FFVP9" localSheetId="3" hidden="1">{"'gráf jan00'!$A$1:$AK$41"}</definedName>
    <definedName name="FFVP9" localSheetId="6" hidden="1">{"'gráf jan00'!$A$1:$AK$41"}</definedName>
    <definedName name="FFVP9" localSheetId="7" hidden="1">{"'gráf jan00'!$A$1:$AK$41"}</definedName>
    <definedName name="FFVP9" localSheetId="10" hidden="1">{"'gráf jan00'!$A$1:$AK$41"}</definedName>
    <definedName name="FFVP9" localSheetId="11" hidden="1">{"'gráf jan00'!$A$1:$AK$41"}</definedName>
    <definedName name="FFVP9" localSheetId="5" hidden="1">{"'gráf jan00'!$A$1:$AK$41"}</definedName>
    <definedName name="FFVP9" localSheetId="4" hidden="1">{"'gráf jan00'!$A$1:$AK$41"}</definedName>
    <definedName name="FFVP9" hidden="1">{"'gráf jan00'!$A$1:$AK$41"}</definedName>
    <definedName name="ffw" localSheetId="3"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ffw" localSheetId="6"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ffw" localSheetId="7"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ffw" localSheetId="10"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ffw" localSheetId="11"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ffw" localSheetId="5"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ffw" localSheetId="4"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ffw"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fgs" localSheetId="3" hidden="1">{"'gráf jan00'!$A$1:$AK$41"}</definedName>
    <definedName name="fgs" localSheetId="6" hidden="1">{"'gráf jan00'!$A$1:$AK$41"}</definedName>
    <definedName name="fgs" localSheetId="7" hidden="1">{"'gráf jan00'!$A$1:$AK$41"}</definedName>
    <definedName name="fgs" localSheetId="10" hidden="1">{"'gráf jan00'!$A$1:$AK$41"}</definedName>
    <definedName name="fgs" localSheetId="11" hidden="1">{"'gráf jan00'!$A$1:$AK$41"}</definedName>
    <definedName name="fgs" localSheetId="5" hidden="1">{"'gráf jan00'!$A$1:$AK$41"}</definedName>
    <definedName name="fgs" localSheetId="4" hidden="1">{"'gráf jan00'!$A$1:$AK$41"}</definedName>
    <definedName name="fgs" hidden="1">{"'gráf jan00'!$A$1:$AK$41"}</definedName>
    <definedName name="FHDZ" localSheetId="3" hidden="1">{"'gráf jan00'!$A$1:$AK$41"}</definedName>
    <definedName name="FHDZ" localSheetId="6" hidden="1">{"'gráf jan00'!$A$1:$AK$41"}</definedName>
    <definedName name="FHDZ" localSheetId="7" hidden="1">{"'gráf jan00'!$A$1:$AK$41"}</definedName>
    <definedName name="FHDZ" localSheetId="10" hidden="1">{"'gráf jan00'!$A$1:$AK$41"}</definedName>
    <definedName name="FHDZ" localSheetId="11" hidden="1">{"'gráf jan00'!$A$1:$AK$41"}</definedName>
    <definedName name="FHDZ" localSheetId="5" hidden="1">{"'gráf jan00'!$A$1:$AK$41"}</definedName>
    <definedName name="FHDZ" localSheetId="4" hidden="1">{"'gráf jan00'!$A$1:$AK$41"}</definedName>
    <definedName name="FHDZ" hidden="1">{"'gráf jan00'!$A$1:$AK$41"}</definedName>
    <definedName name="fhg" localSheetId="3" hidden="1">{#N/A,#N/A,FALSE,"310.1";#N/A,#N/A,FALSE,"321.1";#N/A,#N/A,FALSE,"320.3";#N/A,#N/A,FALSE,"330.1"}</definedName>
    <definedName name="fhg" localSheetId="6" hidden="1">{#N/A,#N/A,FALSE,"310.1";#N/A,#N/A,FALSE,"321.1";#N/A,#N/A,FALSE,"320.3";#N/A,#N/A,FALSE,"330.1"}</definedName>
    <definedName name="fhg" localSheetId="7" hidden="1">{#N/A,#N/A,FALSE,"310.1";#N/A,#N/A,FALSE,"321.1";#N/A,#N/A,FALSE,"320.3";#N/A,#N/A,FALSE,"330.1"}</definedName>
    <definedName name="fhg" localSheetId="10" hidden="1">{#N/A,#N/A,FALSE,"310.1";#N/A,#N/A,FALSE,"321.1";#N/A,#N/A,FALSE,"320.3";#N/A,#N/A,FALSE,"330.1"}</definedName>
    <definedName name="fhg" localSheetId="11" hidden="1">{#N/A,#N/A,FALSE,"310.1";#N/A,#N/A,FALSE,"321.1";#N/A,#N/A,FALSE,"320.3";#N/A,#N/A,FALSE,"330.1"}</definedName>
    <definedName name="fhg" localSheetId="5" hidden="1">{#N/A,#N/A,FALSE,"310.1";#N/A,#N/A,FALSE,"321.1";#N/A,#N/A,FALSE,"320.3";#N/A,#N/A,FALSE,"330.1"}</definedName>
    <definedName name="fhg" localSheetId="4" hidden="1">{#N/A,#N/A,FALSE,"310.1";#N/A,#N/A,FALSE,"321.1";#N/A,#N/A,FALSE,"320.3";#N/A,#N/A,FALSE,"330.1"}</definedName>
    <definedName name="fhg" hidden="1">{#N/A,#N/A,FALSE,"310.1";#N/A,#N/A,FALSE,"321.1";#N/A,#N/A,FALSE,"320.3";#N/A,#N/A,FALSE,"330.1"}</definedName>
    <definedName name="fin" localSheetId="3"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fin" localSheetId="6"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fin" localSheetId="7"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fin" localSheetId="10"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fin" localSheetId="1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fin" localSheetId="5"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fin" localSheetId="4"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fin" localSheetId="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fin" localSheetId="2"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fin"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fina" localSheetId="3"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fina" localSheetId="6"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fina" localSheetId="7"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fina" localSheetId="10"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fina" localSheetId="1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fina" localSheetId="5"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fina" localSheetId="4"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fina"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Financ.Resumen" localSheetId="3"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Financ.Resumen" localSheetId="6"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Financ.Resumen" localSheetId="7"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Financ.Resumen" localSheetId="10"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Financ.Resumen" localSheetId="11"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Financ.Resumen" localSheetId="5"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Financ.Resumen" localSheetId="4"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Financ.Resumen"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FIT_RJ">'[13]$Preços'!$J$35:$L$35</definedName>
    <definedName name="FIT_SP">'[13]$Preços'!$F$35:$H$35</definedName>
    <definedName name="FJASLJFIL" localSheetId="3" hidden="1">{"'gráf jan00'!$A$1:$AK$41"}</definedName>
    <definedName name="FJASLJFIL" localSheetId="6" hidden="1">{"'gráf jan00'!$A$1:$AK$41"}</definedName>
    <definedName name="FJASLJFIL" localSheetId="7" hidden="1">{"'gráf jan00'!$A$1:$AK$41"}</definedName>
    <definedName name="FJASLJFIL" localSheetId="10" hidden="1">{"'gráf jan00'!$A$1:$AK$41"}</definedName>
    <definedName name="FJASLJFIL" localSheetId="11" hidden="1">{"'gráf jan00'!$A$1:$AK$41"}</definedName>
    <definedName name="FJASLJFIL" localSheetId="5" hidden="1">{"'gráf jan00'!$A$1:$AK$41"}</definedName>
    <definedName name="FJASLJFIL" localSheetId="4" hidden="1">{"'gráf jan00'!$A$1:$AK$41"}</definedName>
    <definedName name="FJASLJFIL" hidden="1">{"'gráf jan00'!$A$1:$AK$41"}</definedName>
    <definedName name="fjrjrjrtj" localSheetId="3"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fjrjrjrtj" localSheetId="6"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fjrjrjrtj" localSheetId="7"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fjrjrjrtj" localSheetId="10"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fjrjrjrtj" localSheetId="11"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fjrjrjrtj" localSheetId="5"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fjrjrjrtj" localSheetId="4"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fjrjrjrtj"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Fluxo_Orçado_2011" localSheetId="3"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Fluxo_Orçado_2011" localSheetId="6"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Fluxo_Orçado_2011" localSheetId="7"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Fluxo_Orçado_2011" localSheetId="10"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Fluxo_Orçado_2011" localSheetId="1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Fluxo_Orçado_2011" localSheetId="5"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Fluxo_Orçado_2011" localSheetId="4"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Fluxo_Orçado_201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FolResumoFlorestas" localSheetId="3" hidden="1">{"'REL CUSTODIF'!$B$1:$H$72"}</definedName>
    <definedName name="FolResumoFlorestas" localSheetId="6" hidden="1">{"'REL CUSTODIF'!$B$1:$H$72"}</definedName>
    <definedName name="FolResumoFlorestas" localSheetId="7" hidden="1">{"'REL CUSTODIF'!$B$1:$H$72"}</definedName>
    <definedName name="FolResumoFlorestas" localSheetId="10" hidden="1">{"'REL CUSTODIF'!$B$1:$H$72"}</definedName>
    <definedName name="FolResumoFlorestas" localSheetId="11" hidden="1">{"'REL CUSTODIF'!$B$1:$H$72"}</definedName>
    <definedName name="FolResumoFlorestas" localSheetId="5" hidden="1">{"'REL CUSTODIF'!$B$1:$H$72"}</definedName>
    <definedName name="FolResumoFlorestas" localSheetId="4" hidden="1">{"'REL CUSTODIF'!$B$1:$H$72"}</definedName>
    <definedName name="FolResumoFlorestas" hidden="1">{"'REL CUSTODIF'!$B$1:$H$72"}</definedName>
    <definedName name="fresfg" localSheetId="3"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fresfg" localSheetId="6"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fresfg" localSheetId="7"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fresfg" localSheetId="10"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fresfg" localSheetId="11"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fresfg" localSheetId="5"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fresfg" localSheetId="4"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fresfg"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FRWAESR" localSheetId="3" hidden="1">{"'Quadro'!$A$4:$BG$78"}</definedName>
    <definedName name="FRWAESR" localSheetId="6" hidden="1">{"'Quadro'!$A$4:$BG$78"}</definedName>
    <definedName name="FRWAESR" localSheetId="7" hidden="1">{"'Quadro'!$A$4:$BG$78"}</definedName>
    <definedName name="FRWAESR" localSheetId="10" hidden="1">{"'Quadro'!$A$4:$BG$78"}</definedName>
    <definedName name="FRWAESR" localSheetId="11" hidden="1">{"'Quadro'!$A$4:$BG$78"}</definedName>
    <definedName name="FRWAESR" localSheetId="5" hidden="1">{"'Quadro'!$A$4:$BG$78"}</definedName>
    <definedName name="FRWAESR" localSheetId="4" hidden="1">{"'Quadro'!$A$4:$BG$78"}</definedName>
    <definedName name="FRWAESR" hidden="1">{"'Quadro'!$A$4:$BG$78"}</definedName>
    <definedName name="FSA" localSheetId="3" hidden="1">{"'Quadro'!$A$4:$BG$78"}</definedName>
    <definedName name="FSA" localSheetId="6" hidden="1">{"'Quadro'!$A$4:$BG$78"}</definedName>
    <definedName name="FSA" localSheetId="7" hidden="1">{"'Quadro'!$A$4:$BG$78"}</definedName>
    <definedName name="FSA" localSheetId="10" hidden="1">{"'Quadro'!$A$4:$BG$78"}</definedName>
    <definedName name="FSA" localSheetId="11" hidden="1">{"'Quadro'!$A$4:$BG$78"}</definedName>
    <definedName name="FSA" localSheetId="5" hidden="1">{"'Quadro'!$A$4:$BG$78"}</definedName>
    <definedName name="FSA" localSheetId="4" hidden="1">{"'Quadro'!$A$4:$BG$78"}</definedName>
    <definedName name="FSA" hidden="1">{"'Quadro'!$A$4:$BG$78"}</definedName>
    <definedName name="fsadfasd" localSheetId="3"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fsadfasd" localSheetId="6"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fsadfasd" localSheetId="7"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fsadfasd" localSheetId="10"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fsadfasd" localSheetId="11"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fsadfasd" localSheetId="5"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fsadfasd" localSheetId="4"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fsadfasd"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fsd" localSheetId="3" hidden="1">{"'gráf jan00'!$A$1:$AK$41"}</definedName>
    <definedName name="fsd" localSheetId="6" hidden="1">{"'gráf jan00'!$A$1:$AK$41"}</definedName>
    <definedName name="fsd" localSheetId="7" hidden="1">{"'gráf jan00'!$A$1:$AK$41"}</definedName>
    <definedName name="fsd" localSheetId="10" hidden="1">{"'gráf jan00'!$A$1:$AK$41"}</definedName>
    <definedName name="fsd" localSheetId="11" hidden="1">{"'gráf jan00'!$A$1:$AK$41"}</definedName>
    <definedName name="fsd" localSheetId="5" hidden="1">{"'gráf jan00'!$A$1:$AK$41"}</definedName>
    <definedName name="fsd" localSheetId="4" hidden="1">{"'gráf jan00'!$A$1:$AK$41"}</definedName>
    <definedName name="fsd" hidden="1">{"'gráf jan00'!$A$1:$AK$41"}</definedName>
    <definedName name="FSDF" localSheetId="3" hidden="1">{"'Quadro'!$A$4:$BG$78"}</definedName>
    <definedName name="FSDF" localSheetId="6" hidden="1">{"'Quadro'!$A$4:$BG$78"}</definedName>
    <definedName name="FSDF" localSheetId="7" hidden="1">{"'Quadro'!$A$4:$BG$78"}</definedName>
    <definedName name="FSDF" localSheetId="10" hidden="1">{"'Quadro'!$A$4:$BG$78"}</definedName>
    <definedName name="FSDF" localSheetId="11" hidden="1">{"'Quadro'!$A$4:$BG$78"}</definedName>
    <definedName name="FSDF" localSheetId="5" hidden="1">{"'Quadro'!$A$4:$BG$78"}</definedName>
    <definedName name="FSDF" localSheetId="4" hidden="1">{"'Quadro'!$A$4:$BG$78"}</definedName>
    <definedName name="FSDF" hidden="1">{"'Quadro'!$A$4:$BG$78"}</definedName>
    <definedName name="FSDS" localSheetId="3" hidden="1">{"'gráf jan00'!$A$1:$AK$41"}</definedName>
    <definedName name="FSDS" localSheetId="6" hidden="1">{"'gráf jan00'!$A$1:$AK$41"}</definedName>
    <definedName name="FSDS" localSheetId="7" hidden="1">{"'gráf jan00'!$A$1:$AK$41"}</definedName>
    <definedName name="FSDS" localSheetId="10" hidden="1">{"'gráf jan00'!$A$1:$AK$41"}</definedName>
    <definedName name="FSDS" localSheetId="11" hidden="1">{"'gráf jan00'!$A$1:$AK$41"}</definedName>
    <definedName name="FSDS" localSheetId="5" hidden="1">{"'gráf jan00'!$A$1:$AK$41"}</definedName>
    <definedName name="FSDS" localSheetId="4" hidden="1">{"'gráf jan00'!$A$1:$AK$41"}</definedName>
    <definedName name="FSDS" hidden="1">{"'gráf jan00'!$A$1:$AK$41"}</definedName>
    <definedName name="fthju" localSheetId="3" hidden="1">{"VENTAS1",#N/A,FALSE,"VENTAS";"VENTAS2",#N/A,FALSE,"VENTAS";"VENTAS3",#N/A,FALSE,"VENTAS";"VENTAS4",#N/A,FALSE,"VENTAS";"VENTAS5",#N/A,FALSE,"VENTAS";"VENTAS6",#N/A,FALSE,"VENTAS";"VENTAS7",#N/A,FALSE,"VENTAS";"VENTAS8",#N/A,FALSE,"VENTAS"}</definedName>
    <definedName name="fthju" localSheetId="6" hidden="1">{"VENTAS1",#N/A,FALSE,"VENTAS";"VENTAS2",#N/A,FALSE,"VENTAS";"VENTAS3",#N/A,FALSE,"VENTAS";"VENTAS4",#N/A,FALSE,"VENTAS";"VENTAS5",#N/A,FALSE,"VENTAS";"VENTAS6",#N/A,FALSE,"VENTAS";"VENTAS7",#N/A,FALSE,"VENTAS";"VENTAS8",#N/A,FALSE,"VENTAS"}</definedName>
    <definedName name="fthju" localSheetId="7" hidden="1">{"VENTAS1",#N/A,FALSE,"VENTAS";"VENTAS2",#N/A,FALSE,"VENTAS";"VENTAS3",#N/A,FALSE,"VENTAS";"VENTAS4",#N/A,FALSE,"VENTAS";"VENTAS5",#N/A,FALSE,"VENTAS";"VENTAS6",#N/A,FALSE,"VENTAS";"VENTAS7",#N/A,FALSE,"VENTAS";"VENTAS8",#N/A,FALSE,"VENTAS"}</definedName>
    <definedName name="fthju" localSheetId="10" hidden="1">{"VENTAS1",#N/A,FALSE,"VENTAS";"VENTAS2",#N/A,FALSE,"VENTAS";"VENTAS3",#N/A,FALSE,"VENTAS";"VENTAS4",#N/A,FALSE,"VENTAS";"VENTAS5",#N/A,FALSE,"VENTAS";"VENTAS6",#N/A,FALSE,"VENTAS";"VENTAS7",#N/A,FALSE,"VENTAS";"VENTAS8",#N/A,FALSE,"VENTAS"}</definedName>
    <definedName name="fthju" localSheetId="11" hidden="1">{"VENTAS1",#N/A,FALSE,"VENTAS";"VENTAS2",#N/A,FALSE,"VENTAS";"VENTAS3",#N/A,FALSE,"VENTAS";"VENTAS4",#N/A,FALSE,"VENTAS";"VENTAS5",#N/A,FALSE,"VENTAS";"VENTAS6",#N/A,FALSE,"VENTAS";"VENTAS7",#N/A,FALSE,"VENTAS";"VENTAS8",#N/A,FALSE,"VENTAS"}</definedName>
    <definedName name="fthju" localSheetId="5" hidden="1">{"VENTAS1",#N/A,FALSE,"VENTAS";"VENTAS2",#N/A,FALSE,"VENTAS";"VENTAS3",#N/A,FALSE,"VENTAS";"VENTAS4",#N/A,FALSE,"VENTAS";"VENTAS5",#N/A,FALSE,"VENTAS";"VENTAS6",#N/A,FALSE,"VENTAS";"VENTAS7",#N/A,FALSE,"VENTAS";"VENTAS8",#N/A,FALSE,"VENTAS"}</definedName>
    <definedName name="fthju" localSheetId="4" hidden="1">{"VENTAS1",#N/A,FALSE,"VENTAS";"VENTAS2",#N/A,FALSE,"VENTAS";"VENTAS3",#N/A,FALSE,"VENTAS";"VENTAS4",#N/A,FALSE,"VENTAS";"VENTAS5",#N/A,FALSE,"VENTAS";"VENTAS6",#N/A,FALSE,"VENTAS";"VENTAS7",#N/A,FALSE,"VENTAS";"VENTAS8",#N/A,FALSE,"VENTAS"}</definedName>
    <definedName name="fthju" localSheetId="1" hidden="1">{"VENTAS1",#N/A,FALSE,"VENTAS";"VENTAS2",#N/A,FALSE,"VENTAS";"VENTAS3",#N/A,FALSE,"VENTAS";"VENTAS4",#N/A,FALSE,"VENTAS";"VENTAS5",#N/A,FALSE,"VENTAS";"VENTAS6",#N/A,FALSE,"VENTAS";"VENTAS7",#N/A,FALSE,"VENTAS";"VENTAS8",#N/A,FALSE,"VENTAS"}</definedName>
    <definedName name="fthju" localSheetId="2" hidden="1">{"VENTAS1",#N/A,FALSE,"VENTAS";"VENTAS2",#N/A,FALSE,"VENTAS";"VENTAS3",#N/A,FALSE,"VENTAS";"VENTAS4",#N/A,FALSE,"VENTAS";"VENTAS5",#N/A,FALSE,"VENTAS";"VENTAS6",#N/A,FALSE,"VENTAS";"VENTAS7",#N/A,FALSE,"VENTAS";"VENTAS8",#N/A,FALSE,"VENTAS"}</definedName>
    <definedName name="fthju" hidden="1">{"VENTAS1",#N/A,FALSE,"VENTAS";"VENTAS2",#N/A,FALSE,"VENTAS";"VENTAS3",#N/A,FALSE,"VENTAS";"VENTAS4",#N/A,FALSE,"VENTAS";"VENTAS5",#N/A,FALSE,"VENTAS";"VENTAS6",#N/A,FALSE,"VENTAS";"VENTAS7",#N/A,FALSE,"VENTAS";"VENTAS8",#N/A,FALSE,"VENTAS"}</definedName>
    <definedName name="FTU" localSheetId="3" hidden="1">{"'Quadro'!$A$4:$BG$78"}</definedName>
    <definedName name="FTU" localSheetId="6" hidden="1">{"'Quadro'!$A$4:$BG$78"}</definedName>
    <definedName name="FTU" localSheetId="7" hidden="1">{"'Quadro'!$A$4:$BG$78"}</definedName>
    <definedName name="FTU" localSheetId="10" hidden="1">{"'Quadro'!$A$4:$BG$78"}</definedName>
    <definedName name="FTU" localSheetId="11" hidden="1">{"'Quadro'!$A$4:$BG$78"}</definedName>
    <definedName name="FTU" localSheetId="5" hidden="1">{"'Quadro'!$A$4:$BG$78"}</definedName>
    <definedName name="FTU" localSheetId="4" hidden="1">{"'Quadro'!$A$4:$BG$78"}</definedName>
    <definedName name="FTU" hidden="1">{"'Quadro'!$A$4:$BG$78"}</definedName>
    <definedName name="funções">'[13]$Preços'!$DN$36:$DN$190</definedName>
    <definedName name="g" localSheetId="3" hidden="1">{#N/A,#N/A,FALSE,"REGNSKAPSUTDRAG DIVISJON";#N/A,#N/A,FALSE,"Nøkkeltall"}</definedName>
    <definedName name="g" localSheetId="6" hidden="1">{#N/A,#N/A,FALSE,"REGNSKAPSUTDRAG DIVISJON";#N/A,#N/A,FALSE,"Nøkkeltall"}</definedName>
    <definedName name="g" localSheetId="7" hidden="1">{#N/A,#N/A,FALSE,"REGNSKAPSUTDRAG DIVISJON";#N/A,#N/A,FALSE,"Nøkkeltall"}</definedName>
    <definedName name="g" localSheetId="10" hidden="1">{#N/A,#N/A,FALSE,"REGNSKAPSUTDRAG DIVISJON";#N/A,#N/A,FALSE,"Nøkkeltall"}</definedName>
    <definedName name="g" localSheetId="11" hidden="1">{#N/A,#N/A,FALSE,"REGNSKAPSUTDRAG DIVISJON";#N/A,#N/A,FALSE,"Nøkkeltall"}</definedName>
    <definedName name="g" localSheetId="5" hidden="1">{#N/A,#N/A,FALSE,"REGNSKAPSUTDRAG DIVISJON";#N/A,#N/A,FALSE,"Nøkkeltall"}</definedName>
    <definedName name="g" localSheetId="4" hidden="1">{#N/A,#N/A,FALSE,"REGNSKAPSUTDRAG DIVISJON";#N/A,#N/A,FALSE,"Nøkkeltall"}</definedName>
    <definedName name="g" hidden="1">{#N/A,#N/A,FALSE,"REGNSKAPSUTDRAG DIVISJON";#N/A,#N/A,FALSE,"Nøkkeltall"}</definedName>
    <definedName name="galo" localSheetId="3" hidden="1">{#N/A,#N/A,FALSE,"Aging Summary";#N/A,#N/A,FALSE,"Ratio Analysis";#N/A,#N/A,FALSE,"Test 120 Day Accts";#N/A,#N/A,FALSE,"Tickmarks"}</definedName>
    <definedName name="galo" localSheetId="6" hidden="1">{#N/A,#N/A,FALSE,"Aging Summary";#N/A,#N/A,FALSE,"Ratio Analysis";#N/A,#N/A,FALSE,"Test 120 Day Accts";#N/A,#N/A,FALSE,"Tickmarks"}</definedName>
    <definedName name="galo" localSheetId="7" hidden="1">{#N/A,#N/A,FALSE,"Aging Summary";#N/A,#N/A,FALSE,"Ratio Analysis";#N/A,#N/A,FALSE,"Test 120 Day Accts";#N/A,#N/A,FALSE,"Tickmarks"}</definedName>
    <definedName name="galo" localSheetId="10" hidden="1">{#N/A,#N/A,FALSE,"Aging Summary";#N/A,#N/A,FALSE,"Ratio Analysis";#N/A,#N/A,FALSE,"Test 120 Day Accts";#N/A,#N/A,FALSE,"Tickmarks"}</definedName>
    <definedName name="galo" localSheetId="11" hidden="1">{#N/A,#N/A,FALSE,"Aging Summary";#N/A,#N/A,FALSE,"Ratio Analysis";#N/A,#N/A,FALSE,"Test 120 Day Accts";#N/A,#N/A,FALSE,"Tickmarks"}</definedName>
    <definedName name="galo" localSheetId="5" hidden="1">{#N/A,#N/A,FALSE,"Aging Summary";#N/A,#N/A,FALSE,"Ratio Analysis";#N/A,#N/A,FALSE,"Test 120 Day Accts";#N/A,#N/A,FALSE,"Tickmarks"}</definedName>
    <definedName name="galo" localSheetId="4" hidden="1">{#N/A,#N/A,FALSE,"Aging Summary";#N/A,#N/A,FALSE,"Ratio Analysis";#N/A,#N/A,FALSE,"Test 120 Day Accts";#N/A,#N/A,FALSE,"Tickmarks"}</definedName>
    <definedName name="galo" hidden="1">{#N/A,#N/A,FALSE,"Aging Summary";#N/A,#N/A,FALSE,"Ratio Analysis";#N/A,#N/A,FALSE,"Test 120 Day Accts";#N/A,#N/A,FALSE,"Tickmarks"}</definedName>
    <definedName name="GAMAN" localSheetId="3" hidden="1">{#N/A,#N/A,FALSE,"PCOL"}</definedName>
    <definedName name="GAMAN" localSheetId="6" hidden="1">{#N/A,#N/A,FALSE,"PCOL"}</definedName>
    <definedName name="GAMAN" localSheetId="7" hidden="1">{#N/A,#N/A,FALSE,"PCOL"}</definedName>
    <definedName name="GAMAN" localSheetId="10" hidden="1">{#N/A,#N/A,FALSE,"PCOL"}</definedName>
    <definedName name="GAMAN" localSheetId="11" hidden="1">{#N/A,#N/A,FALSE,"PCOL"}</definedName>
    <definedName name="GAMAN" localSheetId="5" hidden="1">{#N/A,#N/A,FALSE,"PCOL"}</definedName>
    <definedName name="GAMAN" localSheetId="4" hidden="1">{#N/A,#N/A,FALSE,"PCOL"}</definedName>
    <definedName name="GAMAN" hidden="1">{#N/A,#N/A,FALSE,"PCOL"}</definedName>
    <definedName name="GAMAR" localSheetId="3" hidden="1">{"'CptDifn'!$AA$32:$AG$32"}</definedName>
    <definedName name="GAMAR" localSheetId="6" hidden="1">{"'CptDifn'!$AA$32:$AG$32"}</definedName>
    <definedName name="GAMAR" localSheetId="7" hidden="1">{"'CptDifn'!$AA$32:$AG$32"}</definedName>
    <definedName name="GAMAR" localSheetId="10" hidden="1">{"'CptDifn'!$AA$32:$AG$32"}</definedName>
    <definedName name="GAMAR" localSheetId="11" hidden="1">{"'CptDifn'!$AA$32:$AG$32"}</definedName>
    <definedName name="GAMAR" localSheetId="5" hidden="1">{"'CptDifn'!$AA$32:$AG$32"}</definedName>
    <definedName name="GAMAR" localSheetId="4" hidden="1">{"'CptDifn'!$AA$32:$AG$32"}</definedName>
    <definedName name="GAMAR" hidden="1">{"'CptDifn'!$AA$32:$AG$32"}</definedName>
    <definedName name="GAMAR1" localSheetId="3" hidden="1">{"'CptDifn'!$AA$32:$AG$32"}</definedName>
    <definedName name="GAMAR1" localSheetId="6" hidden="1">{"'CptDifn'!$AA$32:$AG$32"}</definedName>
    <definedName name="GAMAR1" localSheetId="7" hidden="1">{"'CptDifn'!$AA$32:$AG$32"}</definedName>
    <definedName name="GAMAR1" localSheetId="10" hidden="1">{"'CptDifn'!$AA$32:$AG$32"}</definedName>
    <definedName name="GAMAR1" localSheetId="11" hidden="1">{"'CptDifn'!$AA$32:$AG$32"}</definedName>
    <definedName name="GAMAR1" localSheetId="5" hidden="1">{"'CptDifn'!$AA$32:$AG$32"}</definedName>
    <definedName name="GAMAR1" localSheetId="4" hidden="1">{"'CptDifn'!$AA$32:$AG$32"}</definedName>
    <definedName name="GAMAR1" hidden="1">{"'CptDifn'!$AA$32:$AG$32"}</definedName>
    <definedName name="gamen" localSheetId="3" hidden="1">{#N/A,#N/A,FALSE,"PCOL"}</definedName>
    <definedName name="gamen" localSheetId="6" hidden="1">{#N/A,#N/A,FALSE,"PCOL"}</definedName>
    <definedName name="gamen" localSheetId="7" hidden="1">{#N/A,#N/A,FALSE,"PCOL"}</definedName>
    <definedName name="gamen" localSheetId="10" hidden="1">{#N/A,#N/A,FALSE,"PCOL"}</definedName>
    <definedName name="gamen" localSheetId="11" hidden="1">{#N/A,#N/A,FALSE,"PCOL"}</definedName>
    <definedName name="gamen" localSheetId="5" hidden="1">{#N/A,#N/A,FALSE,"PCOL"}</definedName>
    <definedName name="gamen" localSheetId="4" hidden="1">{#N/A,#N/A,FALSE,"PCOL"}</definedName>
    <definedName name="gamen" hidden="1">{#N/A,#N/A,FALSE,"PCOL"}</definedName>
    <definedName name="garug01" localSheetId="3" hidden="1">{"'REL CUSTODIF'!$B$1:$H$72"}</definedName>
    <definedName name="garug01" localSheetId="6" hidden="1">{"'REL CUSTODIF'!$B$1:$H$72"}</definedName>
    <definedName name="garug01" localSheetId="7" hidden="1">{"'REL CUSTODIF'!$B$1:$H$72"}</definedName>
    <definedName name="garug01" localSheetId="10" hidden="1">{"'REL CUSTODIF'!$B$1:$H$72"}</definedName>
    <definedName name="garug01" localSheetId="11" hidden="1">{"'REL CUSTODIF'!$B$1:$H$72"}</definedName>
    <definedName name="garug01" localSheetId="5" hidden="1">{"'REL CUSTODIF'!$B$1:$H$72"}</definedName>
    <definedName name="garug01" localSheetId="4" hidden="1">{"'REL CUSTODIF'!$B$1:$H$72"}</definedName>
    <definedName name="garug01" hidden="1">{"'REL CUSTODIF'!$B$1:$H$72"}</definedName>
    <definedName name="garug1" localSheetId="3" hidden="1">{#N/A,#N/A,FALSE,"PCOL"}</definedName>
    <definedName name="garug1" localSheetId="6" hidden="1">{#N/A,#N/A,FALSE,"PCOL"}</definedName>
    <definedName name="garug1" localSheetId="7" hidden="1">{#N/A,#N/A,FALSE,"PCOL"}</definedName>
    <definedName name="garug1" localSheetId="10" hidden="1">{#N/A,#N/A,FALSE,"PCOL"}</definedName>
    <definedName name="garug1" localSheetId="11" hidden="1">{#N/A,#N/A,FALSE,"PCOL"}</definedName>
    <definedName name="garug1" localSheetId="5" hidden="1">{#N/A,#N/A,FALSE,"PCOL"}</definedName>
    <definedName name="garug1" localSheetId="4" hidden="1">{#N/A,#N/A,FALSE,"PCOL"}</definedName>
    <definedName name="garug1" hidden="1">{#N/A,#N/A,FALSE,"PCOL"}</definedName>
    <definedName name="GASEG" localSheetId="3" hidden="1">{"'Quadro'!$A$4:$BG$78"}</definedName>
    <definedName name="GASEG" localSheetId="6" hidden="1">{"'Quadro'!$A$4:$BG$78"}</definedName>
    <definedName name="GASEG" localSheetId="7" hidden="1">{"'Quadro'!$A$4:$BG$78"}</definedName>
    <definedName name="GASEG" localSheetId="10" hidden="1">{"'Quadro'!$A$4:$BG$78"}</definedName>
    <definedName name="GASEG" localSheetId="11" hidden="1">{"'Quadro'!$A$4:$BG$78"}</definedName>
    <definedName name="GASEG" localSheetId="5" hidden="1">{"'Quadro'!$A$4:$BG$78"}</definedName>
    <definedName name="GASEG" localSheetId="4" hidden="1">{"'Quadro'!$A$4:$BG$78"}</definedName>
    <definedName name="GASEG" hidden="1">{"'Quadro'!$A$4:$BG$78"}</definedName>
    <definedName name="GAVTG" localSheetId="3" hidden="1">{"'gráf jan00'!$A$1:$AK$41"}</definedName>
    <definedName name="GAVTG" localSheetId="6" hidden="1">{"'gráf jan00'!$A$1:$AK$41"}</definedName>
    <definedName name="GAVTG" localSheetId="7" hidden="1">{"'gráf jan00'!$A$1:$AK$41"}</definedName>
    <definedName name="GAVTG" localSheetId="10" hidden="1">{"'gráf jan00'!$A$1:$AK$41"}</definedName>
    <definedName name="GAVTG" localSheetId="11" hidden="1">{"'gráf jan00'!$A$1:$AK$41"}</definedName>
    <definedName name="GAVTG" localSheetId="5" hidden="1">{"'gráf jan00'!$A$1:$AK$41"}</definedName>
    <definedName name="GAVTG" localSheetId="4" hidden="1">{"'gráf jan00'!$A$1:$AK$41"}</definedName>
    <definedName name="GAVTG" hidden="1">{"'gráf jan00'!$A$1:$AK$41"}</definedName>
    <definedName name="gdfg" localSheetId="3" hidden="1">{"'gráf jan00'!$A$1:$AK$41"}</definedName>
    <definedName name="gdfg" localSheetId="6" hidden="1">{"'gráf jan00'!$A$1:$AK$41"}</definedName>
    <definedName name="gdfg" localSheetId="7" hidden="1">{"'gráf jan00'!$A$1:$AK$41"}</definedName>
    <definedName name="gdfg" localSheetId="10" hidden="1">{"'gráf jan00'!$A$1:$AK$41"}</definedName>
    <definedName name="gdfg" localSheetId="11" hidden="1">{"'gráf jan00'!$A$1:$AK$41"}</definedName>
    <definedName name="gdfg" localSheetId="5" hidden="1">{"'gráf jan00'!$A$1:$AK$41"}</definedName>
    <definedName name="gdfg" localSheetId="4" hidden="1">{"'gráf jan00'!$A$1:$AK$41"}</definedName>
    <definedName name="gdfg" hidden="1">{"'gráf jan00'!$A$1:$AK$41"}</definedName>
    <definedName name="GDS" localSheetId="3" hidden="1">{"'Quadro'!$A$4:$BG$78"}</definedName>
    <definedName name="GDS" localSheetId="6" hidden="1">{"'Quadro'!$A$4:$BG$78"}</definedName>
    <definedName name="GDS" localSheetId="7" hidden="1">{"'Quadro'!$A$4:$BG$78"}</definedName>
    <definedName name="GDS" localSheetId="10" hidden="1">{"'Quadro'!$A$4:$BG$78"}</definedName>
    <definedName name="GDS" localSheetId="11" hidden="1">{"'Quadro'!$A$4:$BG$78"}</definedName>
    <definedName name="GDS" localSheetId="5" hidden="1">{"'Quadro'!$A$4:$BG$78"}</definedName>
    <definedName name="GDS" localSheetId="4" hidden="1">{"'Quadro'!$A$4:$BG$78"}</definedName>
    <definedName name="GDS" hidden="1">{"'Quadro'!$A$4:$BG$78"}</definedName>
    <definedName name="gemin" localSheetId="3" hidden="1">{#N/A,#N/A,FALSE,"PCOL"}</definedName>
    <definedName name="gemin" localSheetId="6" hidden="1">{#N/A,#N/A,FALSE,"PCOL"}</definedName>
    <definedName name="gemin" localSheetId="7" hidden="1">{#N/A,#N/A,FALSE,"PCOL"}</definedName>
    <definedName name="gemin" localSheetId="10" hidden="1">{#N/A,#N/A,FALSE,"PCOL"}</definedName>
    <definedName name="gemin" localSheetId="11" hidden="1">{#N/A,#N/A,FALSE,"PCOL"}</definedName>
    <definedName name="gemin" localSheetId="5" hidden="1">{#N/A,#N/A,FALSE,"PCOL"}</definedName>
    <definedName name="gemin" localSheetId="4" hidden="1">{#N/A,#N/A,FALSE,"PCOL"}</definedName>
    <definedName name="gemin" hidden="1">{#N/A,#N/A,FALSE,"PCOL"}</definedName>
    <definedName name="Gemop" localSheetId="3" hidden="1">{#N/A,#N/A,TRUE,"indice";#N/A,#N/A,TRUE,"indicadores";#N/A,#N/A,TRUE,"comentarios"}</definedName>
    <definedName name="Gemop" localSheetId="6" hidden="1">{#N/A,#N/A,TRUE,"indice";#N/A,#N/A,TRUE,"indicadores";#N/A,#N/A,TRUE,"comentarios"}</definedName>
    <definedName name="Gemop" localSheetId="7" hidden="1">{#N/A,#N/A,TRUE,"indice";#N/A,#N/A,TRUE,"indicadores";#N/A,#N/A,TRUE,"comentarios"}</definedName>
    <definedName name="Gemop" localSheetId="10" hidden="1">{#N/A,#N/A,TRUE,"indice";#N/A,#N/A,TRUE,"indicadores";#N/A,#N/A,TRUE,"comentarios"}</definedName>
    <definedName name="Gemop" localSheetId="11" hidden="1">{#N/A,#N/A,TRUE,"indice";#N/A,#N/A,TRUE,"indicadores";#N/A,#N/A,TRUE,"comentarios"}</definedName>
    <definedName name="Gemop" localSheetId="5" hidden="1">{#N/A,#N/A,TRUE,"indice";#N/A,#N/A,TRUE,"indicadores";#N/A,#N/A,TRUE,"comentarios"}</definedName>
    <definedName name="Gemop" localSheetId="4" hidden="1">{#N/A,#N/A,TRUE,"indice";#N/A,#N/A,TRUE,"indicadores";#N/A,#N/A,TRUE,"comentarios"}</definedName>
    <definedName name="Gemop" hidden="1">{#N/A,#N/A,TRUE,"indice";#N/A,#N/A,TRUE,"indicadores";#N/A,#N/A,TRUE,"comentarios"}</definedName>
    <definedName name="geração" localSheetId="3" hidden="1">{#N/A,#N/A,FALSE,"ANEXO3 99 ERA";#N/A,#N/A,FALSE,"ANEXO3 99 UBÁ2";#N/A,#N/A,FALSE,"ANEXO3 99 DTU";#N/A,#N/A,FALSE,"ANEXO3 99 RDR";#N/A,#N/A,FALSE,"ANEXO3 99 UBÁ4";#N/A,#N/A,FALSE,"ANEXO3 99 UBÁ6"}</definedName>
    <definedName name="geração" localSheetId="6" hidden="1">{#N/A,#N/A,FALSE,"ANEXO3 99 ERA";#N/A,#N/A,FALSE,"ANEXO3 99 UBÁ2";#N/A,#N/A,FALSE,"ANEXO3 99 DTU";#N/A,#N/A,FALSE,"ANEXO3 99 RDR";#N/A,#N/A,FALSE,"ANEXO3 99 UBÁ4";#N/A,#N/A,FALSE,"ANEXO3 99 UBÁ6"}</definedName>
    <definedName name="geração" localSheetId="7" hidden="1">{#N/A,#N/A,FALSE,"ANEXO3 99 ERA";#N/A,#N/A,FALSE,"ANEXO3 99 UBÁ2";#N/A,#N/A,FALSE,"ANEXO3 99 DTU";#N/A,#N/A,FALSE,"ANEXO3 99 RDR";#N/A,#N/A,FALSE,"ANEXO3 99 UBÁ4";#N/A,#N/A,FALSE,"ANEXO3 99 UBÁ6"}</definedName>
    <definedName name="geração" localSheetId="10" hidden="1">{#N/A,#N/A,FALSE,"ANEXO3 99 ERA";#N/A,#N/A,FALSE,"ANEXO3 99 UBÁ2";#N/A,#N/A,FALSE,"ANEXO3 99 DTU";#N/A,#N/A,FALSE,"ANEXO3 99 RDR";#N/A,#N/A,FALSE,"ANEXO3 99 UBÁ4";#N/A,#N/A,FALSE,"ANEXO3 99 UBÁ6"}</definedName>
    <definedName name="geração" localSheetId="11" hidden="1">{#N/A,#N/A,FALSE,"ANEXO3 99 ERA";#N/A,#N/A,FALSE,"ANEXO3 99 UBÁ2";#N/A,#N/A,FALSE,"ANEXO3 99 DTU";#N/A,#N/A,FALSE,"ANEXO3 99 RDR";#N/A,#N/A,FALSE,"ANEXO3 99 UBÁ4";#N/A,#N/A,FALSE,"ANEXO3 99 UBÁ6"}</definedName>
    <definedName name="geração" localSheetId="5" hidden="1">{#N/A,#N/A,FALSE,"ANEXO3 99 ERA";#N/A,#N/A,FALSE,"ANEXO3 99 UBÁ2";#N/A,#N/A,FALSE,"ANEXO3 99 DTU";#N/A,#N/A,FALSE,"ANEXO3 99 RDR";#N/A,#N/A,FALSE,"ANEXO3 99 UBÁ4";#N/A,#N/A,FALSE,"ANEXO3 99 UBÁ6"}</definedName>
    <definedName name="geração" localSheetId="4" hidden="1">{#N/A,#N/A,FALSE,"ANEXO3 99 ERA";#N/A,#N/A,FALSE,"ANEXO3 99 UBÁ2";#N/A,#N/A,FALSE,"ANEXO3 99 DTU";#N/A,#N/A,FALSE,"ANEXO3 99 RDR";#N/A,#N/A,FALSE,"ANEXO3 99 UBÁ4";#N/A,#N/A,FALSE,"ANEXO3 99 UBÁ6"}</definedName>
    <definedName name="geração" hidden="1">{#N/A,#N/A,FALSE,"ANEXO3 99 ERA";#N/A,#N/A,FALSE,"ANEXO3 99 UBÁ2";#N/A,#N/A,FALSE,"ANEXO3 99 DTU";#N/A,#N/A,FALSE,"ANEXO3 99 RDR";#N/A,#N/A,FALSE,"ANEXO3 99 UBÁ4";#N/A,#N/A,FALSE,"ANEXO3 99 UBÁ6"}</definedName>
    <definedName name="Gerrot" localSheetId="3" hidden="1">{"'Quadro'!$A$4:$BG$78"}</definedName>
    <definedName name="Gerrot" localSheetId="6" hidden="1">{"'Quadro'!$A$4:$BG$78"}</definedName>
    <definedName name="Gerrot" localSheetId="7" hidden="1">{"'Quadro'!$A$4:$BG$78"}</definedName>
    <definedName name="Gerrot" localSheetId="10" hidden="1">{"'Quadro'!$A$4:$BG$78"}</definedName>
    <definedName name="Gerrot" localSheetId="11" hidden="1">{"'Quadro'!$A$4:$BG$78"}</definedName>
    <definedName name="Gerrot" localSheetId="5" hidden="1">{"'Quadro'!$A$4:$BG$78"}</definedName>
    <definedName name="Gerrot" localSheetId="4" hidden="1">{"'Quadro'!$A$4:$BG$78"}</definedName>
    <definedName name="Gerrot" hidden="1">{"'Quadro'!$A$4:$BG$78"}</definedName>
    <definedName name="getep" localSheetId="3" hidden="1">{#N/A,#N/A,TRUE,"indice";#N/A,#N/A,TRUE,"indicadores";#N/A,#N/A,TRUE,"comentarios"}</definedName>
    <definedName name="getep" localSheetId="6" hidden="1">{#N/A,#N/A,TRUE,"indice";#N/A,#N/A,TRUE,"indicadores";#N/A,#N/A,TRUE,"comentarios"}</definedName>
    <definedName name="getep" localSheetId="7" hidden="1">{#N/A,#N/A,TRUE,"indice";#N/A,#N/A,TRUE,"indicadores";#N/A,#N/A,TRUE,"comentarios"}</definedName>
    <definedName name="getep" localSheetId="10" hidden="1">{#N/A,#N/A,TRUE,"indice";#N/A,#N/A,TRUE,"indicadores";#N/A,#N/A,TRUE,"comentarios"}</definedName>
    <definedName name="getep" localSheetId="11" hidden="1">{#N/A,#N/A,TRUE,"indice";#N/A,#N/A,TRUE,"indicadores";#N/A,#N/A,TRUE,"comentarios"}</definedName>
    <definedName name="getep" localSheetId="5" hidden="1">{#N/A,#N/A,TRUE,"indice";#N/A,#N/A,TRUE,"indicadores";#N/A,#N/A,TRUE,"comentarios"}</definedName>
    <definedName name="getep" localSheetId="4" hidden="1">{#N/A,#N/A,TRUE,"indice";#N/A,#N/A,TRUE,"indicadores";#N/A,#N/A,TRUE,"comentarios"}</definedName>
    <definedName name="getep" hidden="1">{#N/A,#N/A,TRUE,"indice";#N/A,#N/A,TRUE,"indicadores";#N/A,#N/A,TRUE,"comentarios"}</definedName>
    <definedName name="GFD" localSheetId="3" hidden="1">{"'gráf jan00'!$A$1:$AK$41"}</definedName>
    <definedName name="GFD" localSheetId="6" hidden="1">{"'gráf jan00'!$A$1:$AK$41"}</definedName>
    <definedName name="GFD" localSheetId="7" hidden="1">{"'gráf jan00'!$A$1:$AK$41"}</definedName>
    <definedName name="GFD" localSheetId="10" hidden="1">{"'gráf jan00'!$A$1:$AK$41"}</definedName>
    <definedName name="GFD" localSheetId="11" hidden="1">{"'gráf jan00'!$A$1:$AK$41"}</definedName>
    <definedName name="GFD" localSheetId="5" hidden="1">{"'gráf jan00'!$A$1:$AK$41"}</definedName>
    <definedName name="GFD" localSheetId="4" hidden="1">{"'gráf jan00'!$A$1:$AK$41"}</definedName>
    <definedName name="GFD" hidden="1">{"'gráf jan00'!$A$1:$AK$41"}</definedName>
    <definedName name="gfdddf" localSheetId="3" hidden="1">{"'CptDifn'!$AA$32:$AG$32"}</definedName>
    <definedName name="gfdddf" localSheetId="6" hidden="1">{"'CptDifn'!$AA$32:$AG$32"}</definedName>
    <definedName name="gfdddf" localSheetId="7" hidden="1">{"'CptDifn'!$AA$32:$AG$32"}</definedName>
    <definedName name="gfdddf" localSheetId="10" hidden="1">{"'CptDifn'!$AA$32:$AG$32"}</definedName>
    <definedName name="gfdddf" localSheetId="11" hidden="1">{"'CptDifn'!$AA$32:$AG$32"}</definedName>
    <definedName name="gfdddf" localSheetId="5" hidden="1">{"'CptDifn'!$AA$32:$AG$32"}</definedName>
    <definedName name="gfdddf" localSheetId="4" hidden="1">{"'CptDifn'!$AA$32:$AG$32"}</definedName>
    <definedName name="gfdddf" hidden="1">{"'CptDifn'!$AA$32:$AG$32"}</definedName>
    <definedName name="gg" localSheetId="3" hidden="1">{"'REL CUSTODIF'!$B$1:$H$72"}</definedName>
    <definedName name="gg" localSheetId="6" hidden="1">{"'REL CUSTODIF'!$B$1:$H$72"}</definedName>
    <definedName name="gg" localSheetId="7" hidden="1">{"'REL CUSTODIF'!$B$1:$H$72"}</definedName>
    <definedName name="gg" localSheetId="10" hidden="1">{"'REL CUSTODIF'!$B$1:$H$72"}</definedName>
    <definedName name="gg" localSheetId="11" hidden="1">{"'REL CUSTODIF'!$B$1:$H$72"}</definedName>
    <definedName name="gg" localSheetId="5" hidden="1">{"'REL CUSTODIF'!$B$1:$H$72"}</definedName>
    <definedName name="gg" localSheetId="4" hidden="1">{"'REL CUSTODIF'!$B$1:$H$72"}</definedName>
    <definedName name="gg" hidden="1">{"'REL CUSTODIF'!$B$1:$H$72"}</definedName>
    <definedName name="ggtggg" localSheetId="3" hidden="1">{#N/A,#N/A,FALSE,"DEF1";#N/A,#N/A,FALSE,"DEF2";#N/A,#N/A,FALSE,"DEF3"}</definedName>
    <definedName name="ggtggg" localSheetId="6" hidden="1">{#N/A,#N/A,FALSE,"DEF1";#N/A,#N/A,FALSE,"DEF2";#N/A,#N/A,FALSE,"DEF3"}</definedName>
    <definedName name="ggtggg" localSheetId="7" hidden="1">{#N/A,#N/A,FALSE,"DEF1";#N/A,#N/A,FALSE,"DEF2";#N/A,#N/A,FALSE,"DEF3"}</definedName>
    <definedName name="ggtggg" localSheetId="10" hidden="1">{#N/A,#N/A,FALSE,"DEF1";#N/A,#N/A,FALSE,"DEF2";#N/A,#N/A,FALSE,"DEF3"}</definedName>
    <definedName name="ggtggg" localSheetId="11" hidden="1">{#N/A,#N/A,FALSE,"DEF1";#N/A,#N/A,FALSE,"DEF2";#N/A,#N/A,FALSE,"DEF3"}</definedName>
    <definedName name="ggtggg" localSheetId="5" hidden="1">{#N/A,#N/A,FALSE,"DEF1";#N/A,#N/A,FALSE,"DEF2";#N/A,#N/A,FALSE,"DEF3"}</definedName>
    <definedName name="ggtggg" localSheetId="4" hidden="1">{#N/A,#N/A,FALSE,"DEF1";#N/A,#N/A,FALSE,"DEF2";#N/A,#N/A,FALSE,"DEF3"}</definedName>
    <definedName name="ggtggg" hidden="1">{#N/A,#N/A,FALSE,"DEF1";#N/A,#N/A,FALSE,"DEF2";#N/A,#N/A,FALSE,"DEF3"}</definedName>
    <definedName name="GHFG" localSheetId="3" hidden="1">{"'RR'!$A$2:$E$81"}</definedName>
    <definedName name="GHFG" localSheetId="6" hidden="1">{"'RR'!$A$2:$E$81"}</definedName>
    <definedName name="GHFG" localSheetId="7" hidden="1">{"'RR'!$A$2:$E$81"}</definedName>
    <definedName name="GHFG" localSheetId="10" hidden="1">{"'RR'!$A$2:$E$81"}</definedName>
    <definedName name="GHFG" localSheetId="11" hidden="1">{"'RR'!$A$2:$E$81"}</definedName>
    <definedName name="GHFG" localSheetId="5" hidden="1">{"'RR'!$A$2:$E$81"}</definedName>
    <definedName name="GHFG" localSheetId="4" hidden="1">{"'RR'!$A$2:$E$81"}</definedName>
    <definedName name="GHFG" hidden="1">{"'RR'!$A$2:$E$81"}</definedName>
    <definedName name="GHJJKGK" localSheetId="3" hidden="1">{"'gráf jan00'!$A$1:$AK$41"}</definedName>
    <definedName name="GHJJKGK" localSheetId="6" hidden="1">{"'gráf jan00'!$A$1:$AK$41"}</definedName>
    <definedName name="GHJJKGK" localSheetId="7" hidden="1">{"'gráf jan00'!$A$1:$AK$41"}</definedName>
    <definedName name="GHJJKGK" localSheetId="10" hidden="1">{"'gráf jan00'!$A$1:$AK$41"}</definedName>
    <definedName name="GHJJKGK" localSheetId="11" hidden="1">{"'gráf jan00'!$A$1:$AK$41"}</definedName>
    <definedName name="GHJJKGK" localSheetId="5" hidden="1">{"'gráf jan00'!$A$1:$AK$41"}</definedName>
    <definedName name="GHJJKGK" localSheetId="4" hidden="1">{"'gráf jan00'!$A$1:$AK$41"}</definedName>
    <definedName name="GHJJKGK" hidden="1">{"'gráf jan00'!$A$1:$AK$41"}</definedName>
    <definedName name="GRAF_10A" localSheetId="3" hidden="1">{#N/A,#N/A,FALSE,"SITUAÇÃO DIÁRIA ";#N/A,#N/A,FALSE,"7 à 7"}</definedName>
    <definedName name="GRAF_10A" localSheetId="6" hidden="1">{#N/A,#N/A,FALSE,"SITUAÇÃO DIÁRIA ";#N/A,#N/A,FALSE,"7 à 7"}</definedName>
    <definedName name="GRAF_10A" localSheetId="7" hidden="1">{#N/A,#N/A,FALSE,"SITUAÇÃO DIÁRIA ";#N/A,#N/A,FALSE,"7 à 7"}</definedName>
    <definedName name="GRAF_10A" localSheetId="10" hidden="1">{#N/A,#N/A,FALSE,"SITUAÇÃO DIÁRIA ";#N/A,#N/A,FALSE,"7 à 7"}</definedName>
    <definedName name="GRAF_10A" localSheetId="11" hidden="1">{#N/A,#N/A,FALSE,"SITUAÇÃO DIÁRIA ";#N/A,#N/A,FALSE,"7 à 7"}</definedName>
    <definedName name="GRAF_10A" localSheetId="5" hidden="1">{#N/A,#N/A,FALSE,"SITUAÇÃO DIÁRIA ";#N/A,#N/A,FALSE,"7 à 7"}</definedName>
    <definedName name="GRAF_10A" localSheetId="4" hidden="1">{#N/A,#N/A,FALSE,"SITUAÇÃO DIÁRIA ";#N/A,#N/A,FALSE,"7 à 7"}</definedName>
    <definedName name="GRAF_10A" hidden="1">{#N/A,#N/A,FALSE,"SITUAÇÃO DIÁRIA ";#N/A,#N/A,FALSE,"7 à 7"}</definedName>
    <definedName name="GRAF_11A" localSheetId="3" hidden="1">{#N/A,#N/A,FALSE,"SITUAÇÃO DIÁRIA ";#N/A,#N/A,FALSE,"7 à 7"}</definedName>
    <definedName name="GRAF_11A" localSheetId="6" hidden="1">{#N/A,#N/A,FALSE,"SITUAÇÃO DIÁRIA ";#N/A,#N/A,FALSE,"7 à 7"}</definedName>
    <definedName name="GRAF_11A" localSheetId="7" hidden="1">{#N/A,#N/A,FALSE,"SITUAÇÃO DIÁRIA ";#N/A,#N/A,FALSE,"7 à 7"}</definedName>
    <definedName name="GRAF_11A" localSheetId="10" hidden="1">{#N/A,#N/A,FALSE,"SITUAÇÃO DIÁRIA ";#N/A,#N/A,FALSE,"7 à 7"}</definedName>
    <definedName name="GRAF_11A" localSheetId="11" hidden="1">{#N/A,#N/A,FALSE,"SITUAÇÃO DIÁRIA ";#N/A,#N/A,FALSE,"7 à 7"}</definedName>
    <definedName name="GRAF_11A" localSheetId="5" hidden="1">{#N/A,#N/A,FALSE,"SITUAÇÃO DIÁRIA ";#N/A,#N/A,FALSE,"7 à 7"}</definedName>
    <definedName name="GRAF_11A" localSheetId="4" hidden="1">{#N/A,#N/A,FALSE,"SITUAÇÃO DIÁRIA ";#N/A,#N/A,FALSE,"7 à 7"}</definedName>
    <definedName name="GRAF_11A" hidden="1">{#N/A,#N/A,FALSE,"SITUAÇÃO DIÁRIA ";#N/A,#N/A,FALSE,"7 à 7"}</definedName>
    <definedName name="GRAF_12A" localSheetId="3" hidden="1">{#N/A,#N/A,FALSE,"SITUAÇÃO DIÁRIA ";#N/A,#N/A,FALSE,"7 à 7"}</definedName>
    <definedName name="GRAF_12A" localSheetId="6" hidden="1">{#N/A,#N/A,FALSE,"SITUAÇÃO DIÁRIA ";#N/A,#N/A,FALSE,"7 à 7"}</definedName>
    <definedName name="GRAF_12A" localSheetId="7" hidden="1">{#N/A,#N/A,FALSE,"SITUAÇÃO DIÁRIA ";#N/A,#N/A,FALSE,"7 à 7"}</definedName>
    <definedName name="GRAF_12A" localSheetId="10" hidden="1">{#N/A,#N/A,FALSE,"SITUAÇÃO DIÁRIA ";#N/A,#N/A,FALSE,"7 à 7"}</definedName>
    <definedName name="GRAF_12A" localSheetId="11" hidden="1">{#N/A,#N/A,FALSE,"SITUAÇÃO DIÁRIA ";#N/A,#N/A,FALSE,"7 à 7"}</definedName>
    <definedName name="GRAF_12A" localSheetId="5" hidden="1">{#N/A,#N/A,FALSE,"SITUAÇÃO DIÁRIA ";#N/A,#N/A,FALSE,"7 à 7"}</definedName>
    <definedName name="GRAF_12A" localSheetId="4" hidden="1">{#N/A,#N/A,FALSE,"SITUAÇÃO DIÁRIA ";#N/A,#N/A,FALSE,"7 à 7"}</definedName>
    <definedName name="GRAF_12A" hidden="1">{#N/A,#N/A,FALSE,"SITUAÇÃO DIÁRIA ";#N/A,#N/A,FALSE,"7 à 7"}</definedName>
    <definedName name="GRAF_21" localSheetId="3" hidden="1">{#N/A,#N/A,FALSE,"SITUAÇÃO DIÁRIA ";#N/A,#N/A,FALSE,"7 à 7"}</definedName>
    <definedName name="GRAF_21" localSheetId="6" hidden="1">{#N/A,#N/A,FALSE,"SITUAÇÃO DIÁRIA ";#N/A,#N/A,FALSE,"7 à 7"}</definedName>
    <definedName name="GRAF_21" localSheetId="7" hidden="1">{#N/A,#N/A,FALSE,"SITUAÇÃO DIÁRIA ";#N/A,#N/A,FALSE,"7 à 7"}</definedName>
    <definedName name="GRAF_21" localSheetId="10" hidden="1">{#N/A,#N/A,FALSE,"SITUAÇÃO DIÁRIA ";#N/A,#N/A,FALSE,"7 à 7"}</definedName>
    <definedName name="GRAF_21" localSheetId="11" hidden="1">{#N/A,#N/A,FALSE,"SITUAÇÃO DIÁRIA ";#N/A,#N/A,FALSE,"7 à 7"}</definedName>
    <definedName name="GRAF_21" localSheetId="5" hidden="1">{#N/A,#N/A,FALSE,"SITUAÇÃO DIÁRIA ";#N/A,#N/A,FALSE,"7 à 7"}</definedName>
    <definedName name="GRAF_21" localSheetId="4" hidden="1">{#N/A,#N/A,FALSE,"SITUAÇÃO DIÁRIA ";#N/A,#N/A,FALSE,"7 à 7"}</definedName>
    <definedName name="GRAF_21" hidden="1">{#N/A,#N/A,FALSE,"SITUAÇÃO DIÁRIA ";#N/A,#N/A,FALSE,"7 à 7"}</definedName>
    <definedName name="graf_3" localSheetId="3" hidden="1">{#N/A,#N/A,FALSE,"SITUAÇÃO DIÁRIA ";#N/A,#N/A,FALSE,"7 à 7"}</definedName>
    <definedName name="graf_3" localSheetId="6" hidden="1">{#N/A,#N/A,FALSE,"SITUAÇÃO DIÁRIA ";#N/A,#N/A,FALSE,"7 à 7"}</definedName>
    <definedName name="graf_3" localSheetId="7" hidden="1">{#N/A,#N/A,FALSE,"SITUAÇÃO DIÁRIA ";#N/A,#N/A,FALSE,"7 à 7"}</definedName>
    <definedName name="graf_3" localSheetId="10" hidden="1">{#N/A,#N/A,FALSE,"SITUAÇÃO DIÁRIA ";#N/A,#N/A,FALSE,"7 à 7"}</definedName>
    <definedName name="graf_3" localSheetId="11" hidden="1">{#N/A,#N/A,FALSE,"SITUAÇÃO DIÁRIA ";#N/A,#N/A,FALSE,"7 à 7"}</definedName>
    <definedName name="graf_3" localSheetId="5" hidden="1">{#N/A,#N/A,FALSE,"SITUAÇÃO DIÁRIA ";#N/A,#N/A,FALSE,"7 à 7"}</definedName>
    <definedName name="graf_3" localSheetId="4" hidden="1">{#N/A,#N/A,FALSE,"SITUAÇÃO DIÁRIA ";#N/A,#N/A,FALSE,"7 à 7"}</definedName>
    <definedName name="graf_3" hidden="1">{#N/A,#N/A,FALSE,"SITUAÇÃO DIÁRIA ";#N/A,#N/A,FALSE,"7 à 7"}</definedName>
    <definedName name="GráficoICD" hidden="1">#N/A</definedName>
    <definedName name="_xlnm.Recorder">#REF!</definedName>
    <definedName name="grtgert" localSheetId="3" hidden="1">{#N/A,#N/A,TRUE,"indice";#N/A,#N/A,TRUE,"indicadores";#N/A,#N/A,TRUE,"comentarios"}</definedName>
    <definedName name="grtgert" localSheetId="6" hidden="1">{#N/A,#N/A,TRUE,"indice";#N/A,#N/A,TRUE,"indicadores";#N/A,#N/A,TRUE,"comentarios"}</definedName>
    <definedName name="grtgert" localSheetId="7" hidden="1">{#N/A,#N/A,TRUE,"indice";#N/A,#N/A,TRUE,"indicadores";#N/A,#N/A,TRUE,"comentarios"}</definedName>
    <definedName name="grtgert" localSheetId="10" hidden="1">{#N/A,#N/A,TRUE,"indice";#N/A,#N/A,TRUE,"indicadores";#N/A,#N/A,TRUE,"comentarios"}</definedName>
    <definedName name="grtgert" localSheetId="11" hidden="1">{#N/A,#N/A,TRUE,"indice";#N/A,#N/A,TRUE,"indicadores";#N/A,#N/A,TRUE,"comentarios"}</definedName>
    <definedName name="grtgert" localSheetId="5" hidden="1">{#N/A,#N/A,TRUE,"indice";#N/A,#N/A,TRUE,"indicadores";#N/A,#N/A,TRUE,"comentarios"}</definedName>
    <definedName name="grtgert" localSheetId="4" hidden="1">{#N/A,#N/A,TRUE,"indice";#N/A,#N/A,TRUE,"indicadores";#N/A,#N/A,TRUE,"comentarios"}</definedName>
    <definedName name="grtgert" hidden="1">{#N/A,#N/A,TRUE,"indice";#N/A,#N/A,TRUE,"indicadores";#N/A,#N/A,TRUE,"comentarios"}</definedName>
    <definedName name="gthyt" localSheetId="3" hidden="1">{"VENTAS1",#N/A,FALSE,"VENTAS";"VENTAS2",#N/A,FALSE,"VENTAS";"VENTAS3",#N/A,FALSE,"VENTAS";"VENTAS4",#N/A,FALSE,"VENTAS";"VENTAS5",#N/A,FALSE,"VENTAS";"VENTAS6",#N/A,FALSE,"VENTAS";"VENTAS7",#N/A,FALSE,"VENTAS";"VENTAS8",#N/A,FALSE,"VENTAS"}</definedName>
    <definedName name="gthyt" localSheetId="6" hidden="1">{"VENTAS1",#N/A,FALSE,"VENTAS";"VENTAS2",#N/A,FALSE,"VENTAS";"VENTAS3",#N/A,FALSE,"VENTAS";"VENTAS4",#N/A,FALSE,"VENTAS";"VENTAS5",#N/A,FALSE,"VENTAS";"VENTAS6",#N/A,FALSE,"VENTAS";"VENTAS7",#N/A,FALSE,"VENTAS";"VENTAS8",#N/A,FALSE,"VENTAS"}</definedName>
    <definedName name="gthyt" localSheetId="7" hidden="1">{"VENTAS1",#N/A,FALSE,"VENTAS";"VENTAS2",#N/A,FALSE,"VENTAS";"VENTAS3",#N/A,FALSE,"VENTAS";"VENTAS4",#N/A,FALSE,"VENTAS";"VENTAS5",#N/A,FALSE,"VENTAS";"VENTAS6",#N/A,FALSE,"VENTAS";"VENTAS7",#N/A,FALSE,"VENTAS";"VENTAS8",#N/A,FALSE,"VENTAS"}</definedName>
    <definedName name="gthyt" localSheetId="10" hidden="1">{"VENTAS1",#N/A,FALSE,"VENTAS";"VENTAS2",#N/A,FALSE,"VENTAS";"VENTAS3",#N/A,FALSE,"VENTAS";"VENTAS4",#N/A,FALSE,"VENTAS";"VENTAS5",#N/A,FALSE,"VENTAS";"VENTAS6",#N/A,FALSE,"VENTAS";"VENTAS7",#N/A,FALSE,"VENTAS";"VENTAS8",#N/A,FALSE,"VENTAS"}</definedName>
    <definedName name="gthyt" localSheetId="11" hidden="1">{"VENTAS1",#N/A,FALSE,"VENTAS";"VENTAS2",#N/A,FALSE,"VENTAS";"VENTAS3",#N/A,FALSE,"VENTAS";"VENTAS4",#N/A,FALSE,"VENTAS";"VENTAS5",#N/A,FALSE,"VENTAS";"VENTAS6",#N/A,FALSE,"VENTAS";"VENTAS7",#N/A,FALSE,"VENTAS";"VENTAS8",#N/A,FALSE,"VENTAS"}</definedName>
    <definedName name="gthyt" localSheetId="5" hidden="1">{"VENTAS1",#N/A,FALSE,"VENTAS";"VENTAS2",#N/A,FALSE,"VENTAS";"VENTAS3",#N/A,FALSE,"VENTAS";"VENTAS4",#N/A,FALSE,"VENTAS";"VENTAS5",#N/A,FALSE,"VENTAS";"VENTAS6",#N/A,FALSE,"VENTAS";"VENTAS7",#N/A,FALSE,"VENTAS";"VENTAS8",#N/A,FALSE,"VENTAS"}</definedName>
    <definedName name="gthyt" localSheetId="4" hidden="1">{"VENTAS1",#N/A,FALSE,"VENTAS";"VENTAS2",#N/A,FALSE,"VENTAS";"VENTAS3",#N/A,FALSE,"VENTAS";"VENTAS4",#N/A,FALSE,"VENTAS";"VENTAS5",#N/A,FALSE,"VENTAS";"VENTAS6",#N/A,FALSE,"VENTAS";"VENTAS7",#N/A,FALSE,"VENTAS";"VENTAS8",#N/A,FALSE,"VENTAS"}</definedName>
    <definedName name="gthyt" hidden="1">{"VENTAS1",#N/A,FALSE,"VENTAS";"VENTAS2",#N/A,FALSE,"VENTAS";"VENTAS3",#N/A,FALSE,"VENTAS";"VENTAS4",#N/A,FALSE,"VENTAS";"VENTAS5",#N/A,FALSE,"VENTAS";"VENTAS6",#N/A,FALSE,"VENTAS";"VENTAS7",#N/A,FALSE,"VENTAS";"VENTAS8",#N/A,FALSE,"VENTAS"}</definedName>
    <definedName name="Gupob01Real" localSheetId="3" hidden="1">{#N/A,#N/A,FALSE,"Suprimentos";#N/A,#N/A,FALSE,"Medicina e Segurança";#N/A,#N/A,FALSE,"Administração";#N/A,#N/A,FALSE,"Meio Ambiente";#N/A,#N/A,FALSE,"Operação (Mina)";#N/A,#N/A,FALSE,"Operação (Porto)"}</definedName>
    <definedName name="Gupob01Real" localSheetId="6" hidden="1">{#N/A,#N/A,FALSE,"Suprimentos";#N/A,#N/A,FALSE,"Medicina e Segurança";#N/A,#N/A,FALSE,"Administração";#N/A,#N/A,FALSE,"Meio Ambiente";#N/A,#N/A,FALSE,"Operação (Mina)";#N/A,#N/A,FALSE,"Operação (Porto)"}</definedName>
    <definedName name="Gupob01Real" localSheetId="7" hidden="1">{#N/A,#N/A,FALSE,"Suprimentos";#N/A,#N/A,FALSE,"Medicina e Segurança";#N/A,#N/A,FALSE,"Administração";#N/A,#N/A,FALSE,"Meio Ambiente";#N/A,#N/A,FALSE,"Operação (Mina)";#N/A,#N/A,FALSE,"Operação (Porto)"}</definedName>
    <definedName name="Gupob01Real" localSheetId="10" hidden="1">{#N/A,#N/A,FALSE,"Suprimentos";#N/A,#N/A,FALSE,"Medicina e Segurança";#N/A,#N/A,FALSE,"Administração";#N/A,#N/A,FALSE,"Meio Ambiente";#N/A,#N/A,FALSE,"Operação (Mina)";#N/A,#N/A,FALSE,"Operação (Porto)"}</definedName>
    <definedName name="Gupob01Real" localSheetId="11" hidden="1">{#N/A,#N/A,FALSE,"Suprimentos";#N/A,#N/A,FALSE,"Medicina e Segurança";#N/A,#N/A,FALSE,"Administração";#N/A,#N/A,FALSE,"Meio Ambiente";#N/A,#N/A,FALSE,"Operação (Mina)";#N/A,#N/A,FALSE,"Operação (Porto)"}</definedName>
    <definedName name="Gupob01Real" localSheetId="5" hidden="1">{#N/A,#N/A,FALSE,"Suprimentos";#N/A,#N/A,FALSE,"Medicina e Segurança";#N/A,#N/A,FALSE,"Administração";#N/A,#N/A,FALSE,"Meio Ambiente";#N/A,#N/A,FALSE,"Operação (Mina)";#N/A,#N/A,FALSE,"Operação (Porto)"}</definedName>
    <definedName name="Gupob01Real" localSheetId="4" hidden="1">{#N/A,#N/A,FALSE,"Suprimentos";#N/A,#N/A,FALSE,"Medicina e Segurança";#N/A,#N/A,FALSE,"Administração";#N/A,#N/A,FALSE,"Meio Ambiente";#N/A,#N/A,FALSE,"Operação (Mina)";#N/A,#N/A,FALSE,"Operação (Porto)"}</definedName>
    <definedName name="Gupob01Real" hidden="1">{#N/A,#N/A,FALSE,"Suprimentos";#N/A,#N/A,FALSE,"Medicina e Segurança";#N/A,#N/A,FALSE,"Administração";#N/A,#N/A,FALSE,"Meio Ambiente";#N/A,#N/A,FALSE,"Operação (Mina)";#N/A,#N/A,FALSE,"Operação (Porto)"}</definedName>
    <definedName name="Gurjão" localSheetId="3" hidden="1">{"'gráf jan00'!$A$1:$AK$41"}</definedName>
    <definedName name="Gurjão" localSheetId="6" hidden="1">{"'gráf jan00'!$A$1:$AK$41"}</definedName>
    <definedName name="Gurjão" localSheetId="7" hidden="1">{"'gráf jan00'!$A$1:$AK$41"}</definedName>
    <definedName name="Gurjão" localSheetId="10" hidden="1">{"'gráf jan00'!$A$1:$AK$41"}</definedName>
    <definedName name="Gurjão" localSheetId="11" hidden="1">{"'gráf jan00'!$A$1:$AK$41"}</definedName>
    <definedName name="Gurjão" localSheetId="5" hidden="1">{"'gráf jan00'!$A$1:$AK$41"}</definedName>
    <definedName name="Gurjão" localSheetId="4" hidden="1">{"'gráf jan00'!$A$1:$AK$41"}</definedName>
    <definedName name="Gurjão" hidden="1">{"'gráf jan00'!$A$1:$AK$41"}</definedName>
    <definedName name="gv" localSheetId="3" hidden="1">{"Pèrdues i Guanys analític.Català",#N/A,FALSE,"Català";"Pèrdues i G. analític.castellà",#N/A,FALSE,"Castellà"}</definedName>
    <definedName name="gv" localSheetId="6" hidden="1">{"Pèrdues i Guanys analític.Català",#N/A,FALSE,"Català";"Pèrdues i G. analític.castellà",#N/A,FALSE,"Castellà"}</definedName>
    <definedName name="gv" localSheetId="7" hidden="1">{"Pèrdues i Guanys analític.Català",#N/A,FALSE,"Català";"Pèrdues i G. analític.castellà",#N/A,FALSE,"Castellà"}</definedName>
    <definedName name="gv" localSheetId="10" hidden="1">{"Pèrdues i Guanys analític.Català",#N/A,FALSE,"Català";"Pèrdues i G. analític.castellà",#N/A,FALSE,"Castellà"}</definedName>
    <definedName name="gv" localSheetId="11" hidden="1">{"Pèrdues i Guanys analític.Català",#N/A,FALSE,"Català";"Pèrdues i G. analític.castellà",#N/A,FALSE,"Castellà"}</definedName>
    <definedName name="gv" localSheetId="5" hidden="1">{"Pèrdues i Guanys analític.Català",#N/A,FALSE,"Català";"Pèrdues i G. analític.castellà",#N/A,FALSE,"Castellà"}</definedName>
    <definedName name="gv" localSheetId="4" hidden="1">{"Pèrdues i Guanys analític.Català",#N/A,FALSE,"Català";"Pèrdues i G. analític.castellà",#N/A,FALSE,"Castellà"}</definedName>
    <definedName name="gv" hidden="1">{"Pèrdues i Guanys analític.Català",#N/A,FALSE,"Català";"Pèrdues i G. analític.castellà",#N/A,FALSE,"Castellà"}</definedName>
    <definedName name="gvgg" localSheetId="3"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gvgg" localSheetId="6"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gvgg" localSheetId="7"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gvgg" localSheetId="10"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gvgg" localSheetId="11"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gvgg" localSheetId="5"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gvgg" localSheetId="4"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gvgg"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GVSL1" localSheetId="3" hidden="1">[17]!Header1-1 &amp; "." &amp; MAX(1,COUNTA(INDEX(#REF!,MATCH([17]!Header1-1,#REF!,FALSE)):#REF!))</definedName>
    <definedName name="GVSL1" localSheetId="6" hidden="1">[17]!Header1-1 &amp; "." &amp; MAX(1,COUNTA(INDEX(#REF!,MATCH([17]!Header1-1,#REF!,FALSE)):#REF!))</definedName>
    <definedName name="GVSL1" localSheetId="7" hidden="1">[17]!Header1-1 &amp; "." &amp; MAX(1,COUNTA(INDEX(#REF!,MATCH([17]!Header1-1,#REF!,FALSE)):#REF!))</definedName>
    <definedName name="GVSL1" localSheetId="10" hidden="1">[17]!Header1-1 &amp; "." &amp; MAX(1,COUNTA(INDEX(#REF!,MATCH([17]!Header1-1,#REF!,FALSE)):#REF!))</definedName>
    <definedName name="GVSL1" localSheetId="5" hidden="1">[17]!Header1-1 &amp; "." &amp; MAX(1,COUNTA(INDEX(#REF!,MATCH([17]!Header1-1,#REF!,FALSE)):#REF!))</definedName>
    <definedName name="GVSL1" localSheetId="4" hidden="1">[17]!Header1-1 &amp; "." &amp; MAX(1,COUNTA(INDEX(#REF!,MATCH([17]!Header1-1,#REF!,FALSE)):#REF!))</definedName>
    <definedName name="GVSL1" hidden="1">[17]!Header1-1 &amp; "." &amp; MAX(1,COUNTA(INDEX(#REF!,MATCH([17]!Header1-1,#REF!,FALSE)):#REF!))</definedName>
    <definedName name="hbfghfgh" localSheetId="3"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hbfghfgh" localSheetId="6"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hbfghfgh" localSheetId="7"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hbfghfgh" localSheetId="10"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hbfghfgh" localSheetId="11"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hbfghfgh" localSheetId="5"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hbfghfgh" localSheetId="4"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hbfghfgh"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Header1" localSheetId="3" hidden="1">IF(COUNTA(#REF!)=0,0,INDEX(#REF!,MATCH(ROW(#REF!),#REF!,TRUE)))+1</definedName>
    <definedName name="Header1" localSheetId="6" hidden="1">IF(COUNTA(#REF!)=0,0,INDEX(#REF!,MATCH(ROW(#REF!),#REF!,TRUE)))+1</definedName>
    <definedName name="Header1" localSheetId="7" hidden="1">IF(COUNTA(#REF!)=0,0,INDEX(#REF!,MATCH(ROW(#REF!),#REF!,TRUE)))+1</definedName>
    <definedName name="Header1" localSheetId="10" hidden="1">IF(COUNTA(#REF!)=0,0,INDEX(#REF!,MATCH(ROW(#REF!),#REF!,TRUE)))+1</definedName>
    <definedName name="Header1" localSheetId="11" hidden="1">IF(COUNTA(#REF!)=0,0,INDEX(#REF!,MATCH(ROW(#REF!),#REF!,TRUE)))+1</definedName>
    <definedName name="Header1" hidden="1">IF(COUNTA(#REF!)=0,0,INDEX(#REF!,MATCH(ROW(#REF!),#REF!,TRUE)))+1</definedName>
    <definedName name="Header2" localSheetId="3" hidden="1">[17]!Header1-1 &amp; "." &amp; MAX(1,COUNTA(INDEX(#REF!,MATCH([17]!Header1-1,#REF!,FALSE)):#REF!))</definedName>
    <definedName name="Header2" localSheetId="6" hidden="1">[17]!Header1-1 &amp; "." &amp; MAX(1,COUNTA(INDEX(#REF!,MATCH([17]!Header1-1,#REF!,FALSE)):#REF!))</definedName>
    <definedName name="Header2" localSheetId="7" hidden="1">[17]!Header1-1 &amp; "." &amp; MAX(1,COUNTA(INDEX(#REF!,MATCH([17]!Header1-1,#REF!,FALSE)):#REF!))</definedName>
    <definedName name="Header2" localSheetId="10" hidden="1">[17]!Header1-1 &amp; "." &amp; MAX(1,COUNTA(INDEX(#REF!,MATCH([17]!Header1-1,#REF!,FALSE)):#REF!))</definedName>
    <definedName name="Header2" localSheetId="5" hidden="1">[17]!Header1-1 &amp; "." &amp; MAX(1,COUNTA(INDEX(#REF!,MATCH([17]!Header1-1,#REF!,FALSE)):#REF!))</definedName>
    <definedName name="Header2" localSheetId="4" hidden="1">[17]!Header1-1 &amp; "." &amp; MAX(1,COUNTA(INDEX(#REF!,MATCH([17]!Header1-1,#REF!,FALSE)):#REF!))</definedName>
    <definedName name="Header2" hidden="1">[17]!Header1-1 &amp; "." &amp; MAX(1,COUNTA(INDEX(#REF!,MATCH([17]!Header1-1,#REF!,FALSE)):#REF!))</definedName>
    <definedName name="hfs" localSheetId="3" hidden="1">{"'gráf jan00'!$A$1:$AK$41"}</definedName>
    <definedName name="hfs" localSheetId="6" hidden="1">{"'gráf jan00'!$A$1:$AK$41"}</definedName>
    <definedName name="hfs" localSheetId="7" hidden="1">{"'gráf jan00'!$A$1:$AK$41"}</definedName>
    <definedName name="hfs" localSheetId="10" hidden="1">{"'gráf jan00'!$A$1:$AK$41"}</definedName>
    <definedName name="hfs" localSheetId="11" hidden="1">{"'gráf jan00'!$A$1:$AK$41"}</definedName>
    <definedName name="hfs" localSheetId="5" hidden="1">{"'gráf jan00'!$A$1:$AK$41"}</definedName>
    <definedName name="hfs" localSheetId="4" hidden="1">{"'gráf jan00'!$A$1:$AK$41"}</definedName>
    <definedName name="hfs" hidden="1">{"'gráf jan00'!$A$1:$AK$41"}</definedName>
    <definedName name="HGH" localSheetId="3" hidden="1">{"'gráf jan00'!$A$1:$AK$41"}</definedName>
    <definedName name="HGH" localSheetId="6" hidden="1">{"'gráf jan00'!$A$1:$AK$41"}</definedName>
    <definedName name="HGH" localSheetId="7" hidden="1">{"'gráf jan00'!$A$1:$AK$41"}</definedName>
    <definedName name="HGH" localSheetId="10" hidden="1">{"'gráf jan00'!$A$1:$AK$41"}</definedName>
    <definedName name="HGH" localSheetId="11" hidden="1">{"'gráf jan00'!$A$1:$AK$41"}</definedName>
    <definedName name="HGH" localSheetId="5" hidden="1">{"'gráf jan00'!$A$1:$AK$41"}</definedName>
    <definedName name="HGH" localSheetId="4" hidden="1">{"'gráf jan00'!$A$1:$AK$41"}</definedName>
    <definedName name="HGH" hidden="1">{"'gráf jan00'!$A$1:$AK$41"}</definedName>
    <definedName name="HGHJ" localSheetId="3" hidden="1">{"'Quadro'!$A$4:$BG$78"}</definedName>
    <definedName name="HGHJ" localSheetId="6" hidden="1">{"'Quadro'!$A$4:$BG$78"}</definedName>
    <definedName name="HGHJ" localSheetId="7" hidden="1">{"'Quadro'!$A$4:$BG$78"}</definedName>
    <definedName name="HGHJ" localSheetId="10" hidden="1">{"'Quadro'!$A$4:$BG$78"}</definedName>
    <definedName name="HGHJ" localSheetId="11" hidden="1">{"'Quadro'!$A$4:$BG$78"}</definedName>
    <definedName name="HGHJ" localSheetId="5" hidden="1">{"'Quadro'!$A$4:$BG$78"}</definedName>
    <definedName name="HGHJ" localSheetId="4" hidden="1">{"'Quadro'!$A$4:$BG$78"}</definedName>
    <definedName name="HGHJ" hidden="1">{"'Quadro'!$A$4:$BG$78"}</definedName>
    <definedName name="hhgfgfg" localSheetId="3"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hhgfgfg" localSheetId="6"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hhgfgfg" localSheetId="7"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hhgfgfg" localSheetId="10"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hhgfgfg" localSheetId="11"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hhgfgfg" localSheetId="5"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hhgfgfg" localSheetId="4"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hhgfgfg"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hhhhh" localSheetId="3" hidden="1">#REF!</definedName>
    <definedName name="hhhhh" localSheetId="6" hidden="1">#REF!</definedName>
    <definedName name="hhhhh" localSheetId="7" hidden="1">#REF!</definedName>
    <definedName name="hhhhh" localSheetId="10" hidden="1">#REF!</definedName>
    <definedName name="hhhhh" localSheetId="11" hidden="1">#REF!</definedName>
    <definedName name="hhhhh" hidden="1">#REF!</definedName>
    <definedName name="HIDRÁULICA">#N/A</definedName>
    <definedName name="HISPANOBRAS" localSheetId="3"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HISPANOBRAS" localSheetId="6"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HISPANOBRAS" localSheetId="7"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HISPANOBRAS" localSheetId="10"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HISPANOBRAS" localSheetId="11"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HISPANOBRAS" localSheetId="5"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HISPANOBRAS" localSheetId="4"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HISPANOBRAS"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HJF" localSheetId="3" hidden="1">{"'RR'!$A$2:$E$81"}</definedName>
    <definedName name="HJF" localSheetId="6" hidden="1">{"'RR'!$A$2:$E$81"}</definedName>
    <definedName name="HJF" localSheetId="7" hidden="1">{"'RR'!$A$2:$E$81"}</definedName>
    <definedName name="HJF" localSheetId="10" hidden="1">{"'RR'!$A$2:$E$81"}</definedName>
    <definedName name="HJF" localSheetId="11" hidden="1">{"'RR'!$A$2:$E$81"}</definedName>
    <definedName name="HJF" localSheetId="5" hidden="1">{"'RR'!$A$2:$E$81"}</definedName>
    <definedName name="HJF" localSheetId="4" hidden="1">{"'RR'!$A$2:$E$81"}</definedName>
    <definedName name="HJF" hidden="1">{"'RR'!$A$2:$E$81"}</definedName>
    <definedName name="hlç" localSheetId="3" hidden="1">{"'Quadro'!$A$4:$BG$78"}</definedName>
    <definedName name="hlç" localSheetId="6" hidden="1">{"'Quadro'!$A$4:$BG$78"}</definedName>
    <definedName name="hlç" localSheetId="7" hidden="1">{"'Quadro'!$A$4:$BG$78"}</definedName>
    <definedName name="hlç" localSheetId="10" hidden="1">{"'Quadro'!$A$4:$BG$78"}</definedName>
    <definedName name="hlç" localSheetId="11" hidden="1">{"'Quadro'!$A$4:$BG$78"}</definedName>
    <definedName name="hlç" localSheetId="5" hidden="1">{"'Quadro'!$A$4:$BG$78"}</definedName>
    <definedName name="hlç" localSheetId="4" hidden="1">{"'Quadro'!$A$4:$BG$78"}</definedName>
    <definedName name="hlç" hidden="1">{"'Quadro'!$A$4:$BG$78"}</definedName>
    <definedName name="hn.ExtDb" hidden="1">FALSE</definedName>
    <definedName name="hn.ModelType" hidden="1">"DEAL"</definedName>
    <definedName name="hn.ModelVersion" hidden="1">1</definedName>
    <definedName name="hn.NoUpload" hidden="1">0</definedName>
    <definedName name="hn.RolledForward" hidden="1">FALSE</definedName>
    <definedName name="hrfghre" localSheetId="3"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hrfghre" localSheetId="6"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hrfghre" localSheetId="7"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hrfghre" localSheetId="10"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hrfghre" localSheetId="11"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hrfghre" localSheetId="5"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hrfghre" localSheetId="4"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hrfghre"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hthj" localSheetId="3"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hthj" localSheetId="6"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hthj" localSheetId="7"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hthj" localSheetId="10"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hthj" localSheetId="1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hthj" localSheetId="5"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hthj" localSheetId="4"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hthj" localSheetId="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hthj" localSheetId="2"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hthj"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htmal_control3" localSheetId="3" hidden="1">{"'RR'!$A$2:$E$81"}</definedName>
    <definedName name="htmal_control3" localSheetId="6" hidden="1">{"'RR'!$A$2:$E$81"}</definedName>
    <definedName name="htmal_control3" localSheetId="7" hidden="1">{"'RR'!$A$2:$E$81"}</definedName>
    <definedName name="htmal_control3" localSheetId="10" hidden="1">{"'RR'!$A$2:$E$81"}</definedName>
    <definedName name="htmal_control3" localSheetId="11" hidden="1">{"'RR'!$A$2:$E$81"}</definedName>
    <definedName name="htmal_control3" localSheetId="5" hidden="1">{"'RR'!$A$2:$E$81"}</definedName>
    <definedName name="htmal_control3" localSheetId="4" hidden="1">{"'RR'!$A$2:$E$81"}</definedName>
    <definedName name="htmal_control3" hidden="1">{"'RR'!$A$2:$E$81"}</definedName>
    <definedName name="htmal_control4" localSheetId="3" hidden="1">{"'RR'!$A$2:$E$81"}</definedName>
    <definedName name="htmal_control4" localSheetId="6" hidden="1">{"'RR'!$A$2:$E$81"}</definedName>
    <definedName name="htmal_control4" localSheetId="7" hidden="1">{"'RR'!$A$2:$E$81"}</definedName>
    <definedName name="htmal_control4" localSheetId="10" hidden="1">{"'RR'!$A$2:$E$81"}</definedName>
    <definedName name="htmal_control4" localSheetId="11" hidden="1">{"'RR'!$A$2:$E$81"}</definedName>
    <definedName name="htmal_control4" localSheetId="5" hidden="1">{"'RR'!$A$2:$E$81"}</definedName>
    <definedName name="htmal_control4" localSheetId="4" hidden="1">{"'RR'!$A$2:$E$81"}</definedName>
    <definedName name="htmal_control4" hidden="1">{"'RR'!$A$2:$E$81"}</definedName>
    <definedName name="htmal_control5" localSheetId="3" hidden="1">{"'RR'!$A$2:$E$81"}</definedName>
    <definedName name="htmal_control5" localSheetId="6" hidden="1">{"'RR'!$A$2:$E$81"}</definedName>
    <definedName name="htmal_control5" localSheetId="7" hidden="1">{"'RR'!$A$2:$E$81"}</definedName>
    <definedName name="htmal_control5" localSheetId="10" hidden="1">{"'RR'!$A$2:$E$81"}</definedName>
    <definedName name="htmal_control5" localSheetId="11" hidden="1">{"'RR'!$A$2:$E$81"}</definedName>
    <definedName name="htmal_control5" localSheetId="5" hidden="1">{"'RR'!$A$2:$E$81"}</definedName>
    <definedName name="htmal_control5" localSheetId="4" hidden="1">{"'RR'!$A$2:$E$81"}</definedName>
    <definedName name="htmal_control5" hidden="1">{"'RR'!$A$2:$E$81"}</definedName>
    <definedName name="htmal_control6" localSheetId="3" hidden="1">{"'RR'!$A$2:$E$81"}</definedName>
    <definedName name="htmal_control6" localSheetId="6" hidden="1">{"'RR'!$A$2:$E$81"}</definedName>
    <definedName name="htmal_control6" localSheetId="7" hidden="1">{"'RR'!$A$2:$E$81"}</definedName>
    <definedName name="htmal_control6" localSheetId="10" hidden="1">{"'RR'!$A$2:$E$81"}</definedName>
    <definedName name="htmal_control6" localSheetId="11" hidden="1">{"'RR'!$A$2:$E$81"}</definedName>
    <definedName name="htmal_control6" localSheetId="5" hidden="1">{"'RR'!$A$2:$E$81"}</definedName>
    <definedName name="htmal_control6" localSheetId="4" hidden="1">{"'RR'!$A$2:$E$81"}</definedName>
    <definedName name="htmal_control6" hidden="1">{"'RR'!$A$2:$E$81"}</definedName>
    <definedName name="htmal_control7" localSheetId="3" hidden="1">{"'RR'!$A$2:$E$81"}</definedName>
    <definedName name="htmal_control7" localSheetId="6" hidden="1">{"'RR'!$A$2:$E$81"}</definedName>
    <definedName name="htmal_control7" localSheetId="7" hidden="1">{"'RR'!$A$2:$E$81"}</definedName>
    <definedName name="htmal_control7" localSheetId="10" hidden="1">{"'RR'!$A$2:$E$81"}</definedName>
    <definedName name="htmal_control7" localSheetId="11" hidden="1">{"'RR'!$A$2:$E$81"}</definedName>
    <definedName name="htmal_control7" localSheetId="5" hidden="1">{"'RR'!$A$2:$E$81"}</definedName>
    <definedName name="htmal_control7" localSheetId="4" hidden="1">{"'RR'!$A$2:$E$81"}</definedName>
    <definedName name="htmal_control7" hidden="1">{"'RR'!$A$2:$E$81"}</definedName>
    <definedName name="htmal_control8" localSheetId="3" hidden="1">{"'RR'!$A$2:$E$81"}</definedName>
    <definedName name="htmal_control8" localSheetId="6" hidden="1">{"'RR'!$A$2:$E$81"}</definedName>
    <definedName name="htmal_control8" localSheetId="7" hidden="1">{"'RR'!$A$2:$E$81"}</definedName>
    <definedName name="htmal_control8" localSheetId="10" hidden="1">{"'RR'!$A$2:$E$81"}</definedName>
    <definedName name="htmal_control8" localSheetId="11" hidden="1">{"'RR'!$A$2:$E$81"}</definedName>
    <definedName name="htmal_control8" localSheetId="5" hidden="1">{"'RR'!$A$2:$E$81"}</definedName>
    <definedName name="htmal_control8" localSheetId="4" hidden="1">{"'RR'!$A$2:$E$81"}</definedName>
    <definedName name="htmal_control8" hidden="1">{"'RR'!$A$2:$E$81"}</definedName>
    <definedName name="HTML_CodePage" hidden="1">1252</definedName>
    <definedName name="HTML_Control" localSheetId="3" hidden="1">{"'Índice'!$A$1:$K$49"}</definedName>
    <definedName name="HTML_Control" localSheetId="6" hidden="1">{"'Índice'!$A$1:$K$49"}</definedName>
    <definedName name="HTML_Control" localSheetId="7" hidden="1">{"'Índice'!$A$1:$K$49"}</definedName>
    <definedName name="HTML_Control" localSheetId="10" hidden="1">{"'Índice'!$A$1:$K$49"}</definedName>
    <definedName name="HTML_Control" localSheetId="11" hidden="1">{"'Índice'!$A$1:$K$49"}</definedName>
    <definedName name="HTML_Control" localSheetId="5" hidden="1">{"'Índice'!$A$1:$K$49"}</definedName>
    <definedName name="HTML_Control" localSheetId="4" hidden="1">{"'Índice'!$A$1:$K$49"}</definedName>
    <definedName name="HTML_Control" localSheetId="1" hidden="1">{"'Índice'!$A$1:$K$49"}</definedName>
    <definedName name="HTML_Control" localSheetId="2" hidden="1">{"'Índice'!$A$1:$K$49"}</definedName>
    <definedName name="HTML_Control" hidden="1">{"'Índice'!$A$1:$K$49"}</definedName>
    <definedName name="HTML_Control_2" localSheetId="3" hidden="1">{"'ReceitaLiquidaME'!$AA$25:$AN$32"}</definedName>
    <definedName name="HTML_Control_2" localSheetId="6" hidden="1">{"'ReceitaLiquidaME'!$AA$25:$AN$32"}</definedName>
    <definedName name="HTML_Control_2" localSheetId="7" hidden="1">{"'ReceitaLiquidaME'!$AA$25:$AN$32"}</definedName>
    <definedName name="HTML_Control_2" localSheetId="10" hidden="1">{"'ReceitaLiquidaME'!$AA$25:$AN$32"}</definedName>
    <definedName name="HTML_Control_2" localSheetId="11" hidden="1">{"'ReceitaLiquidaME'!$AA$25:$AN$32"}</definedName>
    <definedName name="HTML_Control_2" localSheetId="5" hidden="1">{"'ReceitaLiquidaME'!$AA$25:$AN$32"}</definedName>
    <definedName name="HTML_Control_2" localSheetId="4" hidden="1">{"'ReceitaLiquidaME'!$AA$25:$AN$32"}</definedName>
    <definedName name="HTML_Control_2" hidden="1">{"'ReceitaLiquidaME'!$AA$25:$AN$32"}</definedName>
    <definedName name="html_control10" localSheetId="3" hidden="1">{"'RR'!$A$2:$E$81"}</definedName>
    <definedName name="html_control10" localSheetId="6" hidden="1">{"'RR'!$A$2:$E$81"}</definedName>
    <definedName name="html_control10" localSheetId="7" hidden="1">{"'RR'!$A$2:$E$81"}</definedName>
    <definedName name="html_control10" localSheetId="10" hidden="1">{"'RR'!$A$2:$E$81"}</definedName>
    <definedName name="html_control10" localSheetId="11" hidden="1">{"'RR'!$A$2:$E$81"}</definedName>
    <definedName name="html_control10" localSheetId="5" hidden="1">{"'RR'!$A$2:$E$81"}</definedName>
    <definedName name="html_control10" localSheetId="4" hidden="1">{"'RR'!$A$2:$E$81"}</definedName>
    <definedName name="html_control10" hidden="1">{"'RR'!$A$2:$E$81"}</definedName>
    <definedName name="html_control11" localSheetId="3" hidden="1">{"'RR'!$A$2:$E$81"}</definedName>
    <definedName name="html_control11" localSheetId="6" hidden="1">{"'RR'!$A$2:$E$81"}</definedName>
    <definedName name="html_control11" localSheetId="7" hidden="1">{"'RR'!$A$2:$E$81"}</definedName>
    <definedName name="html_control11" localSheetId="10" hidden="1">{"'RR'!$A$2:$E$81"}</definedName>
    <definedName name="html_control11" localSheetId="11" hidden="1">{"'RR'!$A$2:$E$81"}</definedName>
    <definedName name="html_control11" localSheetId="5" hidden="1">{"'RR'!$A$2:$E$81"}</definedName>
    <definedName name="html_control11" localSheetId="4" hidden="1">{"'RR'!$A$2:$E$81"}</definedName>
    <definedName name="html_control11" hidden="1">{"'RR'!$A$2:$E$81"}</definedName>
    <definedName name="html_control12" localSheetId="3" hidden="1">{"'RR'!$A$2:$E$81"}</definedName>
    <definedName name="html_control12" localSheetId="6" hidden="1">{"'RR'!$A$2:$E$81"}</definedName>
    <definedName name="html_control12" localSheetId="7" hidden="1">{"'RR'!$A$2:$E$81"}</definedName>
    <definedName name="html_control12" localSheetId="10" hidden="1">{"'RR'!$A$2:$E$81"}</definedName>
    <definedName name="html_control12" localSheetId="11" hidden="1">{"'RR'!$A$2:$E$81"}</definedName>
    <definedName name="html_control12" localSheetId="5" hidden="1">{"'RR'!$A$2:$E$81"}</definedName>
    <definedName name="html_control12" localSheetId="4" hidden="1">{"'RR'!$A$2:$E$81"}</definedName>
    <definedName name="html_control12" hidden="1">{"'RR'!$A$2:$E$81"}</definedName>
    <definedName name="html_control13" localSheetId="3" hidden="1">{"'RR'!$A$2:$E$81"}</definedName>
    <definedName name="html_control13" localSheetId="6" hidden="1">{"'RR'!$A$2:$E$81"}</definedName>
    <definedName name="html_control13" localSheetId="7" hidden="1">{"'RR'!$A$2:$E$81"}</definedName>
    <definedName name="html_control13" localSheetId="10" hidden="1">{"'RR'!$A$2:$E$81"}</definedName>
    <definedName name="html_control13" localSheetId="11" hidden="1">{"'RR'!$A$2:$E$81"}</definedName>
    <definedName name="html_control13" localSheetId="5" hidden="1">{"'RR'!$A$2:$E$81"}</definedName>
    <definedName name="html_control13" localSheetId="4" hidden="1">{"'RR'!$A$2:$E$81"}</definedName>
    <definedName name="html_control13" hidden="1">{"'RR'!$A$2:$E$81"}</definedName>
    <definedName name="html_control14" localSheetId="3" hidden="1">{"'RR'!$A$2:$E$81"}</definedName>
    <definedName name="html_control14" localSheetId="6" hidden="1">{"'RR'!$A$2:$E$81"}</definedName>
    <definedName name="html_control14" localSheetId="7" hidden="1">{"'RR'!$A$2:$E$81"}</definedName>
    <definedName name="html_control14" localSheetId="10" hidden="1">{"'RR'!$A$2:$E$81"}</definedName>
    <definedName name="html_control14" localSheetId="11" hidden="1">{"'RR'!$A$2:$E$81"}</definedName>
    <definedName name="html_control14" localSheetId="5" hidden="1">{"'RR'!$A$2:$E$81"}</definedName>
    <definedName name="html_control14" localSheetId="4" hidden="1">{"'RR'!$A$2:$E$81"}</definedName>
    <definedName name="html_control14" hidden="1">{"'RR'!$A$2:$E$81"}</definedName>
    <definedName name="html_control2" localSheetId="3" hidden="1">{"'RR'!$A$2:$E$81"}</definedName>
    <definedName name="html_control2" localSheetId="6" hidden="1">{"'RR'!$A$2:$E$81"}</definedName>
    <definedName name="html_control2" localSheetId="7" hidden="1">{"'RR'!$A$2:$E$81"}</definedName>
    <definedName name="html_control2" localSheetId="10" hidden="1">{"'RR'!$A$2:$E$81"}</definedName>
    <definedName name="html_control2" localSheetId="11" hidden="1">{"'RR'!$A$2:$E$81"}</definedName>
    <definedName name="html_control2" localSheetId="5" hidden="1">{"'RR'!$A$2:$E$81"}</definedName>
    <definedName name="html_control2" localSheetId="4" hidden="1">{"'RR'!$A$2:$E$81"}</definedName>
    <definedName name="html_control2" hidden="1">{"'RR'!$A$2:$E$81"}</definedName>
    <definedName name="HTML_CONTROL20" localSheetId="3" hidden="1">{"'RR'!$A$2:$E$81"}</definedName>
    <definedName name="HTML_CONTROL20" localSheetId="6" hidden="1">{"'RR'!$A$2:$E$81"}</definedName>
    <definedName name="HTML_CONTROL20" localSheetId="7" hidden="1">{"'RR'!$A$2:$E$81"}</definedName>
    <definedName name="HTML_CONTROL20" localSheetId="10" hidden="1">{"'RR'!$A$2:$E$81"}</definedName>
    <definedName name="HTML_CONTROL20" localSheetId="11" hidden="1">{"'RR'!$A$2:$E$81"}</definedName>
    <definedName name="HTML_CONTROL20" localSheetId="5" hidden="1">{"'RR'!$A$2:$E$81"}</definedName>
    <definedName name="HTML_CONTROL20" localSheetId="4" hidden="1">{"'RR'!$A$2:$E$81"}</definedName>
    <definedName name="HTML_CONTROL20" hidden="1">{"'RR'!$A$2:$E$81"}</definedName>
    <definedName name="HTML_CONTROL21" localSheetId="3" hidden="1">{"'RR'!$A$2:$E$81"}</definedName>
    <definedName name="HTML_CONTROL21" localSheetId="6" hidden="1">{"'RR'!$A$2:$E$81"}</definedName>
    <definedName name="HTML_CONTROL21" localSheetId="7" hidden="1">{"'RR'!$A$2:$E$81"}</definedName>
    <definedName name="HTML_CONTROL21" localSheetId="10" hidden="1">{"'RR'!$A$2:$E$81"}</definedName>
    <definedName name="HTML_CONTROL21" localSheetId="11" hidden="1">{"'RR'!$A$2:$E$81"}</definedName>
    <definedName name="HTML_CONTROL21" localSheetId="5" hidden="1">{"'RR'!$A$2:$E$81"}</definedName>
    <definedName name="HTML_CONTROL21" localSheetId="4" hidden="1">{"'RR'!$A$2:$E$81"}</definedName>
    <definedName name="HTML_CONTROL21" hidden="1">{"'RR'!$A$2:$E$81"}</definedName>
    <definedName name="HTML_Description" hidden="1">""</definedName>
    <definedName name="HTML_Email" hidden="1">""</definedName>
    <definedName name="HTML_Header" hidden="1">"Índice"</definedName>
    <definedName name="HTML_LastUpdate" hidden="1">"12/08/1999"</definedName>
    <definedName name="HTML_LineAfter" hidden="1">FALSE</definedName>
    <definedName name="HTML_LineBefore" hidden="1">FALSE</definedName>
    <definedName name="HTML_Name" hidden="1">"Rodovia das Cataratas"</definedName>
    <definedName name="HTML_OBDlg2" hidden="1">TRUE</definedName>
    <definedName name="HTML_OBDlg4" hidden="1">TRUE</definedName>
    <definedName name="HTML_OS" hidden="1">0</definedName>
    <definedName name="HTML_PathFile" hidden="1">"\\Server_1\sig\07 Julho\Informe\MeuHTML.htm"</definedName>
    <definedName name="HTML_PathFileMac" hidden="1">"Macintosh HD:HomePageStuff:New_Home_Page:datafile:histret.html"</definedName>
    <definedName name="HTML_Title" hidden="1">"Gerência de Administração e Controle de Gestão"</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 localSheetId="3" hidden="1">{"'gráf jan00'!$A$1:$AK$41"}</definedName>
    <definedName name="HU" localSheetId="6" hidden="1">{"'gráf jan00'!$A$1:$AK$41"}</definedName>
    <definedName name="HU" localSheetId="7" hidden="1">{"'gráf jan00'!$A$1:$AK$41"}</definedName>
    <definedName name="HU" localSheetId="10" hidden="1">{"'gráf jan00'!$A$1:$AK$41"}</definedName>
    <definedName name="HU" localSheetId="11" hidden="1">{"'gráf jan00'!$A$1:$AK$41"}</definedName>
    <definedName name="HU" localSheetId="5" hidden="1">{"'gráf jan00'!$A$1:$AK$41"}</definedName>
    <definedName name="HU" localSheetId="4" hidden="1">{"'gráf jan00'!$A$1:$AK$41"}</definedName>
    <definedName name="HU" hidden="1">{"'gráf jan00'!$A$1:$AK$41"}</definedName>
    <definedName name="hva" localSheetId="3" hidden="1">{#N/A,#N/A,TRUE,"Skjema 6.18 ";#N/A,#N/A,TRUE,"Skjema 6.19 ";#N/A,#N/A,TRUE,"Skjema 6.20 ";#N/A,#N/A,TRUE,"Skjema 6.21";#N/A,#N/A,TRUE,"Skjema 6.22 ";#N/A,#N/A,TRUE,"Skjema 6.23 ";#N/A,#N/A,TRUE,"Skjema 6.24 ";#N/A,#N/A,TRUE,"Skjema 6.25";#N/A,#N/A,TRUE,"Skjema 6.26 ";#N/A,#N/A,TRUE,"Skjema 6.27";#N/A,#N/A,TRUE,"Skjema 6.28 ";#N/A,#N/A,TRUE,"Skjema 6.29";#N/A,#N/A,TRUE,"Skjema 6.30"}</definedName>
    <definedName name="hva" localSheetId="6" hidden="1">{#N/A,#N/A,TRUE,"Skjema 6.18 ";#N/A,#N/A,TRUE,"Skjema 6.19 ";#N/A,#N/A,TRUE,"Skjema 6.20 ";#N/A,#N/A,TRUE,"Skjema 6.21";#N/A,#N/A,TRUE,"Skjema 6.22 ";#N/A,#N/A,TRUE,"Skjema 6.23 ";#N/A,#N/A,TRUE,"Skjema 6.24 ";#N/A,#N/A,TRUE,"Skjema 6.25";#N/A,#N/A,TRUE,"Skjema 6.26 ";#N/A,#N/A,TRUE,"Skjema 6.27";#N/A,#N/A,TRUE,"Skjema 6.28 ";#N/A,#N/A,TRUE,"Skjema 6.29";#N/A,#N/A,TRUE,"Skjema 6.30"}</definedName>
    <definedName name="hva" localSheetId="7" hidden="1">{#N/A,#N/A,TRUE,"Skjema 6.18 ";#N/A,#N/A,TRUE,"Skjema 6.19 ";#N/A,#N/A,TRUE,"Skjema 6.20 ";#N/A,#N/A,TRUE,"Skjema 6.21";#N/A,#N/A,TRUE,"Skjema 6.22 ";#N/A,#N/A,TRUE,"Skjema 6.23 ";#N/A,#N/A,TRUE,"Skjema 6.24 ";#N/A,#N/A,TRUE,"Skjema 6.25";#N/A,#N/A,TRUE,"Skjema 6.26 ";#N/A,#N/A,TRUE,"Skjema 6.27";#N/A,#N/A,TRUE,"Skjema 6.28 ";#N/A,#N/A,TRUE,"Skjema 6.29";#N/A,#N/A,TRUE,"Skjema 6.30"}</definedName>
    <definedName name="hva" localSheetId="10" hidden="1">{#N/A,#N/A,TRUE,"Skjema 6.18 ";#N/A,#N/A,TRUE,"Skjema 6.19 ";#N/A,#N/A,TRUE,"Skjema 6.20 ";#N/A,#N/A,TRUE,"Skjema 6.21";#N/A,#N/A,TRUE,"Skjema 6.22 ";#N/A,#N/A,TRUE,"Skjema 6.23 ";#N/A,#N/A,TRUE,"Skjema 6.24 ";#N/A,#N/A,TRUE,"Skjema 6.25";#N/A,#N/A,TRUE,"Skjema 6.26 ";#N/A,#N/A,TRUE,"Skjema 6.27";#N/A,#N/A,TRUE,"Skjema 6.28 ";#N/A,#N/A,TRUE,"Skjema 6.29";#N/A,#N/A,TRUE,"Skjema 6.30"}</definedName>
    <definedName name="hva" localSheetId="11" hidden="1">{#N/A,#N/A,TRUE,"Skjema 6.18 ";#N/A,#N/A,TRUE,"Skjema 6.19 ";#N/A,#N/A,TRUE,"Skjema 6.20 ";#N/A,#N/A,TRUE,"Skjema 6.21";#N/A,#N/A,TRUE,"Skjema 6.22 ";#N/A,#N/A,TRUE,"Skjema 6.23 ";#N/A,#N/A,TRUE,"Skjema 6.24 ";#N/A,#N/A,TRUE,"Skjema 6.25";#N/A,#N/A,TRUE,"Skjema 6.26 ";#N/A,#N/A,TRUE,"Skjema 6.27";#N/A,#N/A,TRUE,"Skjema 6.28 ";#N/A,#N/A,TRUE,"Skjema 6.29";#N/A,#N/A,TRUE,"Skjema 6.30"}</definedName>
    <definedName name="hva" localSheetId="5" hidden="1">{#N/A,#N/A,TRUE,"Skjema 6.18 ";#N/A,#N/A,TRUE,"Skjema 6.19 ";#N/A,#N/A,TRUE,"Skjema 6.20 ";#N/A,#N/A,TRUE,"Skjema 6.21";#N/A,#N/A,TRUE,"Skjema 6.22 ";#N/A,#N/A,TRUE,"Skjema 6.23 ";#N/A,#N/A,TRUE,"Skjema 6.24 ";#N/A,#N/A,TRUE,"Skjema 6.25";#N/A,#N/A,TRUE,"Skjema 6.26 ";#N/A,#N/A,TRUE,"Skjema 6.27";#N/A,#N/A,TRUE,"Skjema 6.28 ";#N/A,#N/A,TRUE,"Skjema 6.29";#N/A,#N/A,TRUE,"Skjema 6.30"}</definedName>
    <definedName name="hva" localSheetId="4" hidden="1">{#N/A,#N/A,TRUE,"Skjema 6.18 ";#N/A,#N/A,TRUE,"Skjema 6.19 ";#N/A,#N/A,TRUE,"Skjema 6.20 ";#N/A,#N/A,TRUE,"Skjema 6.21";#N/A,#N/A,TRUE,"Skjema 6.22 ";#N/A,#N/A,TRUE,"Skjema 6.23 ";#N/A,#N/A,TRUE,"Skjema 6.24 ";#N/A,#N/A,TRUE,"Skjema 6.25";#N/A,#N/A,TRUE,"Skjema 6.26 ";#N/A,#N/A,TRUE,"Skjema 6.27";#N/A,#N/A,TRUE,"Skjema 6.28 ";#N/A,#N/A,TRUE,"Skjema 6.29";#N/A,#N/A,TRUE,"Skjema 6.30"}</definedName>
    <definedName name="hva" hidden="1">{#N/A,#N/A,TRUE,"Skjema 6.18 ";#N/A,#N/A,TRUE,"Skjema 6.19 ";#N/A,#N/A,TRUE,"Skjema 6.20 ";#N/A,#N/A,TRUE,"Skjema 6.21";#N/A,#N/A,TRUE,"Skjema 6.22 ";#N/A,#N/A,TRUE,"Skjema 6.23 ";#N/A,#N/A,TRUE,"Skjema 6.24 ";#N/A,#N/A,TRUE,"Skjema 6.25";#N/A,#N/A,TRUE,"Skjema 6.26 ";#N/A,#N/A,TRUE,"Skjema 6.27";#N/A,#N/A,TRUE,"Skjema 6.28 ";#N/A,#N/A,TRUE,"Skjema 6.29";#N/A,#N/A,TRUE,"Skjema 6.30"}</definedName>
    <definedName name="Id">[13]Crono!$B$33:$B$93</definedName>
    <definedName name="Id_Crono">[13]Crono!$B$33:$B$1007</definedName>
    <definedName name="IdentCausas_pareto" localSheetId="3" hidden="1">{"'RR'!$A$2:$E$81"}</definedName>
    <definedName name="IdentCausas_pareto" localSheetId="6" hidden="1">{"'RR'!$A$2:$E$81"}</definedName>
    <definedName name="IdentCausas_pareto" localSheetId="7" hidden="1">{"'RR'!$A$2:$E$81"}</definedName>
    <definedName name="IdentCausas_pareto" localSheetId="10" hidden="1">{"'RR'!$A$2:$E$81"}</definedName>
    <definedName name="IdentCausas_pareto" localSheetId="11" hidden="1">{"'RR'!$A$2:$E$81"}</definedName>
    <definedName name="IdentCausas_pareto" localSheetId="5" hidden="1">{"'RR'!$A$2:$E$81"}</definedName>
    <definedName name="IdentCausas_pareto" localSheetId="4" hidden="1">{"'RR'!$A$2:$E$81"}</definedName>
    <definedName name="IdentCausas_pareto" hidden="1">{"'RR'!$A$2:$E$81"}</definedName>
    <definedName name="iLUMINAÇÃO" localSheetId="3" hidden="1">{#N/A,#N/A,FALSE,"ANEXO3 99 ERA";#N/A,#N/A,FALSE,"ANEXO3 99 UBÁ2";#N/A,#N/A,FALSE,"ANEXO3 99 DTU";#N/A,#N/A,FALSE,"ANEXO3 99 RDR";#N/A,#N/A,FALSE,"ANEXO3 99 UBÁ4";#N/A,#N/A,FALSE,"ANEXO3 99 UBÁ6"}</definedName>
    <definedName name="iLUMINAÇÃO" localSheetId="6" hidden="1">{#N/A,#N/A,FALSE,"ANEXO3 99 ERA";#N/A,#N/A,FALSE,"ANEXO3 99 UBÁ2";#N/A,#N/A,FALSE,"ANEXO3 99 DTU";#N/A,#N/A,FALSE,"ANEXO3 99 RDR";#N/A,#N/A,FALSE,"ANEXO3 99 UBÁ4";#N/A,#N/A,FALSE,"ANEXO3 99 UBÁ6"}</definedName>
    <definedName name="iLUMINAÇÃO" localSheetId="7" hidden="1">{#N/A,#N/A,FALSE,"ANEXO3 99 ERA";#N/A,#N/A,FALSE,"ANEXO3 99 UBÁ2";#N/A,#N/A,FALSE,"ANEXO3 99 DTU";#N/A,#N/A,FALSE,"ANEXO3 99 RDR";#N/A,#N/A,FALSE,"ANEXO3 99 UBÁ4";#N/A,#N/A,FALSE,"ANEXO3 99 UBÁ6"}</definedName>
    <definedName name="iLUMINAÇÃO" localSheetId="10" hidden="1">{#N/A,#N/A,FALSE,"ANEXO3 99 ERA";#N/A,#N/A,FALSE,"ANEXO3 99 UBÁ2";#N/A,#N/A,FALSE,"ANEXO3 99 DTU";#N/A,#N/A,FALSE,"ANEXO3 99 RDR";#N/A,#N/A,FALSE,"ANEXO3 99 UBÁ4";#N/A,#N/A,FALSE,"ANEXO3 99 UBÁ6"}</definedName>
    <definedName name="iLUMINAÇÃO" localSheetId="11" hidden="1">{#N/A,#N/A,FALSE,"ANEXO3 99 ERA";#N/A,#N/A,FALSE,"ANEXO3 99 UBÁ2";#N/A,#N/A,FALSE,"ANEXO3 99 DTU";#N/A,#N/A,FALSE,"ANEXO3 99 RDR";#N/A,#N/A,FALSE,"ANEXO3 99 UBÁ4";#N/A,#N/A,FALSE,"ANEXO3 99 UBÁ6"}</definedName>
    <definedName name="iLUMINAÇÃO" localSheetId="5" hidden="1">{#N/A,#N/A,FALSE,"ANEXO3 99 ERA";#N/A,#N/A,FALSE,"ANEXO3 99 UBÁ2";#N/A,#N/A,FALSE,"ANEXO3 99 DTU";#N/A,#N/A,FALSE,"ANEXO3 99 RDR";#N/A,#N/A,FALSE,"ANEXO3 99 UBÁ4";#N/A,#N/A,FALSE,"ANEXO3 99 UBÁ6"}</definedName>
    <definedName name="iLUMINAÇÃO" localSheetId="4" hidden="1">{#N/A,#N/A,FALSE,"ANEXO3 99 ERA";#N/A,#N/A,FALSE,"ANEXO3 99 UBÁ2";#N/A,#N/A,FALSE,"ANEXO3 99 DTU";#N/A,#N/A,FALSE,"ANEXO3 99 RDR";#N/A,#N/A,FALSE,"ANEXO3 99 UBÁ4";#N/A,#N/A,FALSE,"ANEXO3 99 UBÁ6"}</definedName>
    <definedName name="iLUMINAÇÃO" hidden="1">{#N/A,#N/A,FALSE,"ANEXO3 99 ERA";#N/A,#N/A,FALSE,"ANEXO3 99 UBÁ2";#N/A,#N/A,FALSE,"ANEXO3 99 DTU";#N/A,#N/A,FALSE,"ANEXO3 99 RDR";#N/A,#N/A,FALSE,"ANEXO3 99 UBÁ4";#N/A,#N/A,FALSE,"ANEXO3 99 UBÁ6"}</definedName>
    <definedName name="immmm" localSheetId="3" hidden="1">{#N/A,#N/A,FALSE,"DEF1";#N/A,#N/A,FALSE,"DEF2";#N/A,#N/A,FALSE,"DEF3"}</definedName>
    <definedName name="immmm" localSheetId="6" hidden="1">{#N/A,#N/A,FALSE,"DEF1";#N/A,#N/A,FALSE,"DEF2";#N/A,#N/A,FALSE,"DEF3"}</definedName>
    <definedName name="immmm" localSheetId="7" hidden="1">{#N/A,#N/A,FALSE,"DEF1";#N/A,#N/A,FALSE,"DEF2";#N/A,#N/A,FALSE,"DEF3"}</definedName>
    <definedName name="immmm" localSheetId="10" hidden="1">{#N/A,#N/A,FALSE,"DEF1";#N/A,#N/A,FALSE,"DEF2";#N/A,#N/A,FALSE,"DEF3"}</definedName>
    <definedName name="immmm" localSheetId="11" hidden="1">{#N/A,#N/A,FALSE,"DEF1";#N/A,#N/A,FALSE,"DEF2";#N/A,#N/A,FALSE,"DEF3"}</definedName>
    <definedName name="immmm" localSheetId="5" hidden="1">{#N/A,#N/A,FALSE,"DEF1";#N/A,#N/A,FALSE,"DEF2";#N/A,#N/A,FALSE,"DEF3"}</definedName>
    <definedName name="immmm" localSheetId="4" hidden="1">{#N/A,#N/A,FALSE,"DEF1";#N/A,#N/A,FALSE,"DEF2";#N/A,#N/A,FALSE,"DEF3"}</definedName>
    <definedName name="immmm" hidden="1">{#N/A,#N/A,FALSE,"DEF1";#N/A,#N/A,FALSE,"DEF2";#N/A,#N/A,FALSE,"DEF3"}</definedName>
    <definedName name="IMPERMEABILIZA">#N/A</definedName>
    <definedName name="in" localSheetId="3" hidden="1">{#N/A,#N/A,FALSE,"DEF1";#N/A,#N/A,FALSE,"DEF2";#N/A,#N/A,FALSE,"DEF3"}</definedName>
    <definedName name="in" localSheetId="6" hidden="1">{#N/A,#N/A,FALSE,"DEF1";#N/A,#N/A,FALSE,"DEF2";#N/A,#N/A,FALSE,"DEF3"}</definedName>
    <definedName name="in" localSheetId="7" hidden="1">{#N/A,#N/A,FALSE,"DEF1";#N/A,#N/A,FALSE,"DEF2";#N/A,#N/A,FALSE,"DEF3"}</definedName>
    <definedName name="in" localSheetId="10" hidden="1">{#N/A,#N/A,FALSE,"DEF1";#N/A,#N/A,FALSE,"DEF2";#N/A,#N/A,FALSE,"DEF3"}</definedName>
    <definedName name="in" localSheetId="11" hidden="1">{#N/A,#N/A,FALSE,"DEF1";#N/A,#N/A,FALSE,"DEF2";#N/A,#N/A,FALSE,"DEF3"}</definedName>
    <definedName name="in" localSheetId="5" hidden="1">{#N/A,#N/A,FALSE,"DEF1";#N/A,#N/A,FALSE,"DEF2";#N/A,#N/A,FALSE,"DEF3"}</definedName>
    <definedName name="in" localSheetId="4" hidden="1">{#N/A,#N/A,FALSE,"DEF1";#N/A,#N/A,FALSE,"DEF2";#N/A,#N/A,FALSE,"DEF3"}</definedName>
    <definedName name="in" hidden="1">{#N/A,#N/A,FALSE,"DEF1";#N/A,#N/A,FALSE,"DEF2";#N/A,#N/A,FALSE,"DEF3"}</definedName>
    <definedName name="INDICES" localSheetId="3">#REF!</definedName>
    <definedName name="INDICES" localSheetId="6">#REF!</definedName>
    <definedName name="INDICES" localSheetId="7">#REF!</definedName>
    <definedName name="INDICES" localSheetId="10">#REF!</definedName>
    <definedName name="INDICES" localSheetId="11">#REF!</definedName>
    <definedName name="INDICES">#REF!</definedName>
    <definedName name="Inflación" localSheetId="3"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flación" localSheetId="6"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flación" localSheetId="7"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flación" localSheetId="10"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flación" localSheetId="11"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flación" localSheetId="5"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flación" localSheetId="4"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flación"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fra" localSheetId="3" hidden="1">{"'Quadro'!$A$4:$BG$78"}</definedName>
    <definedName name="Infra" localSheetId="6" hidden="1">{"'Quadro'!$A$4:$BG$78"}</definedName>
    <definedName name="Infra" localSheetId="7" hidden="1">{"'Quadro'!$A$4:$BG$78"}</definedName>
    <definedName name="Infra" localSheetId="10" hidden="1">{"'Quadro'!$A$4:$BG$78"}</definedName>
    <definedName name="Infra" localSheetId="11" hidden="1">{"'Quadro'!$A$4:$BG$78"}</definedName>
    <definedName name="Infra" localSheetId="5" hidden="1">{"'Quadro'!$A$4:$BG$78"}</definedName>
    <definedName name="Infra" localSheetId="4" hidden="1">{"'Quadro'!$A$4:$BG$78"}</definedName>
    <definedName name="Infra" hidden="1">{"'Quadro'!$A$4:$BG$78"}</definedName>
    <definedName name="InsumosRJ">'[13]$Preços'!$W$35:$AA$1154</definedName>
    <definedName name="InsumosSP">'[13]$Preços'!$BC$35:$BG$1154</definedName>
    <definedName name="int" localSheetId="3" hidden="1">{#N/A,#N/A,FALSE,"General";#N/A,#N/A,FALSE,"DMU";#N/A,#N/A,FALSE,"Breakdown";#N/A,#N/A,FALSE,"Traction";#N/A,#N/A,FALSE,"Bogie &amp; Carbody";#N/A,#N/A,FALSE,"Auxiliaries";#N/A,#N/A,FALSE,"Braking";#N/A,#N/A,FALSE,"Electric";#N/A,#N/A,FALSE,"Comfort";#N/A,#N/A,FALSE,"Interiors";#N/A,#N/A,FALSE,"Exterior"}</definedName>
    <definedName name="int" localSheetId="6" hidden="1">{#N/A,#N/A,FALSE,"General";#N/A,#N/A,FALSE,"DMU";#N/A,#N/A,FALSE,"Breakdown";#N/A,#N/A,FALSE,"Traction";#N/A,#N/A,FALSE,"Bogie &amp; Carbody";#N/A,#N/A,FALSE,"Auxiliaries";#N/A,#N/A,FALSE,"Braking";#N/A,#N/A,FALSE,"Electric";#N/A,#N/A,FALSE,"Comfort";#N/A,#N/A,FALSE,"Interiors";#N/A,#N/A,FALSE,"Exterior"}</definedName>
    <definedName name="int" localSheetId="7" hidden="1">{#N/A,#N/A,FALSE,"General";#N/A,#N/A,FALSE,"DMU";#N/A,#N/A,FALSE,"Breakdown";#N/A,#N/A,FALSE,"Traction";#N/A,#N/A,FALSE,"Bogie &amp; Carbody";#N/A,#N/A,FALSE,"Auxiliaries";#N/A,#N/A,FALSE,"Braking";#N/A,#N/A,FALSE,"Electric";#N/A,#N/A,FALSE,"Comfort";#N/A,#N/A,FALSE,"Interiors";#N/A,#N/A,FALSE,"Exterior"}</definedName>
    <definedName name="int" localSheetId="10" hidden="1">{#N/A,#N/A,FALSE,"General";#N/A,#N/A,FALSE,"DMU";#N/A,#N/A,FALSE,"Breakdown";#N/A,#N/A,FALSE,"Traction";#N/A,#N/A,FALSE,"Bogie &amp; Carbody";#N/A,#N/A,FALSE,"Auxiliaries";#N/A,#N/A,FALSE,"Braking";#N/A,#N/A,FALSE,"Electric";#N/A,#N/A,FALSE,"Comfort";#N/A,#N/A,FALSE,"Interiors";#N/A,#N/A,FALSE,"Exterior"}</definedName>
    <definedName name="int" localSheetId="11" hidden="1">{#N/A,#N/A,FALSE,"General";#N/A,#N/A,FALSE,"DMU";#N/A,#N/A,FALSE,"Breakdown";#N/A,#N/A,FALSE,"Traction";#N/A,#N/A,FALSE,"Bogie &amp; Carbody";#N/A,#N/A,FALSE,"Auxiliaries";#N/A,#N/A,FALSE,"Braking";#N/A,#N/A,FALSE,"Electric";#N/A,#N/A,FALSE,"Comfort";#N/A,#N/A,FALSE,"Interiors";#N/A,#N/A,FALSE,"Exterior"}</definedName>
    <definedName name="int" localSheetId="5" hidden="1">{#N/A,#N/A,FALSE,"General";#N/A,#N/A,FALSE,"DMU";#N/A,#N/A,FALSE,"Breakdown";#N/A,#N/A,FALSE,"Traction";#N/A,#N/A,FALSE,"Bogie &amp; Carbody";#N/A,#N/A,FALSE,"Auxiliaries";#N/A,#N/A,FALSE,"Braking";#N/A,#N/A,FALSE,"Electric";#N/A,#N/A,FALSE,"Comfort";#N/A,#N/A,FALSE,"Interiors";#N/A,#N/A,FALSE,"Exterior"}</definedName>
    <definedName name="int" localSheetId="4" hidden="1">{#N/A,#N/A,FALSE,"General";#N/A,#N/A,FALSE,"DMU";#N/A,#N/A,FALSE,"Breakdown";#N/A,#N/A,FALSE,"Traction";#N/A,#N/A,FALSE,"Bogie &amp; Carbody";#N/A,#N/A,FALSE,"Auxiliaries";#N/A,#N/A,FALSE,"Braking";#N/A,#N/A,FALSE,"Electric";#N/A,#N/A,FALSE,"Comfort";#N/A,#N/A,FALSE,"Interiors";#N/A,#N/A,FALSE,"Exterior"}</definedName>
    <definedName name="int" hidden="1">{#N/A,#N/A,FALSE,"General";#N/A,#N/A,FALSE,"DMU";#N/A,#N/A,FALSE,"Breakdown";#N/A,#N/A,FALSE,"Traction";#N/A,#N/A,FALSE,"Bogie &amp; Carbody";#N/A,#N/A,FALSE,"Auxiliaries";#N/A,#N/A,FALSE,"Braking";#N/A,#N/A,FALSE,"Electric";#N/A,#N/A,FALSE,"Comfort";#N/A,#N/A,FALSE,"Interiors";#N/A,#N/A,FALSE,"Exterior"}</definedName>
    <definedName name="Intran" localSheetId="3" hidden="1">{"'teste'!$B$2:$R$49"}</definedName>
    <definedName name="Intran" localSheetId="6" hidden="1">{"'teste'!$B$2:$R$49"}</definedName>
    <definedName name="Intran" localSheetId="7" hidden="1">{"'teste'!$B$2:$R$49"}</definedName>
    <definedName name="Intran" localSheetId="10" hidden="1">{"'teste'!$B$2:$R$49"}</definedName>
    <definedName name="Intran" localSheetId="11" hidden="1">{"'teste'!$B$2:$R$49"}</definedName>
    <definedName name="Intran" localSheetId="5" hidden="1">{"'teste'!$B$2:$R$49"}</definedName>
    <definedName name="Intran" localSheetId="4" hidden="1">{"'teste'!$B$2:$R$49"}</definedName>
    <definedName name="Intran" hidden="1">{"'teste'!$B$2:$R$49"}</definedName>
    <definedName name="inv" localSheetId="3"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v" localSheetId="6"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v" localSheetId="7"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v" localSheetId="10"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v" localSheetId="11"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v" localSheetId="5"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v" localSheetId="4"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v"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V_ECON_MENSAL" localSheetId="3" hidden="1">{#N/A,#N/A,FALSE,"DEF1";#N/A,#N/A,FALSE,"DEF2";#N/A,#N/A,FALSE,"DEF3"}</definedName>
    <definedName name="INV_ECON_MENSAL" localSheetId="6" hidden="1">{#N/A,#N/A,FALSE,"DEF1";#N/A,#N/A,FALSE,"DEF2";#N/A,#N/A,FALSE,"DEF3"}</definedName>
    <definedName name="INV_ECON_MENSAL" localSheetId="7" hidden="1">{#N/A,#N/A,FALSE,"DEF1";#N/A,#N/A,FALSE,"DEF2";#N/A,#N/A,FALSE,"DEF3"}</definedName>
    <definedName name="INV_ECON_MENSAL" localSheetId="10" hidden="1">{#N/A,#N/A,FALSE,"DEF1";#N/A,#N/A,FALSE,"DEF2";#N/A,#N/A,FALSE,"DEF3"}</definedName>
    <definedName name="INV_ECON_MENSAL" localSheetId="11" hidden="1">{#N/A,#N/A,FALSE,"DEF1";#N/A,#N/A,FALSE,"DEF2";#N/A,#N/A,FALSE,"DEF3"}</definedName>
    <definedName name="INV_ECON_MENSAL" localSheetId="5" hidden="1">{#N/A,#N/A,FALSE,"DEF1";#N/A,#N/A,FALSE,"DEF2";#N/A,#N/A,FALSE,"DEF3"}</definedName>
    <definedName name="INV_ECON_MENSAL" localSheetId="4" hidden="1">{#N/A,#N/A,FALSE,"DEF1";#N/A,#N/A,FALSE,"DEF2";#N/A,#N/A,FALSE,"DEF3"}</definedName>
    <definedName name="INV_ECON_MENSAL" hidden="1">{#N/A,#N/A,FALSE,"DEF1";#N/A,#N/A,FALSE,"DEF2";#N/A,#N/A,FALSE,"DEF3"}</definedName>
    <definedName name="inv_financ_Mensal_desemb" localSheetId="3" hidden="1">{#N/A,#N/A,FALSE,"DEF1";#N/A,#N/A,FALSE,"DEF2";#N/A,#N/A,FALSE,"DEF3"}</definedName>
    <definedName name="inv_financ_Mensal_desemb" localSheetId="6" hidden="1">{#N/A,#N/A,FALSE,"DEF1";#N/A,#N/A,FALSE,"DEF2";#N/A,#N/A,FALSE,"DEF3"}</definedName>
    <definedName name="inv_financ_Mensal_desemb" localSheetId="7" hidden="1">{#N/A,#N/A,FALSE,"DEF1";#N/A,#N/A,FALSE,"DEF2";#N/A,#N/A,FALSE,"DEF3"}</definedName>
    <definedName name="inv_financ_Mensal_desemb" localSheetId="10" hidden="1">{#N/A,#N/A,FALSE,"DEF1";#N/A,#N/A,FALSE,"DEF2";#N/A,#N/A,FALSE,"DEF3"}</definedName>
    <definedName name="inv_financ_Mensal_desemb" localSheetId="11" hidden="1">{#N/A,#N/A,FALSE,"DEF1";#N/A,#N/A,FALSE,"DEF2";#N/A,#N/A,FALSE,"DEF3"}</definedName>
    <definedName name="inv_financ_Mensal_desemb" localSheetId="5" hidden="1">{#N/A,#N/A,FALSE,"DEF1";#N/A,#N/A,FALSE,"DEF2";#N/A,#N/A,FALSE,"DEF3"}</definedName>
    <definedName name="inv_financ_Mensal_desemb" localSheetId="4" hidden="1">{#N/A,#N/A,FALSE,"DEF1";#N/A,#N/A,FALSE,"DEF2";#N/A,#N/A,FALSE,"DEF3"}</definedName>
    <definedName name="inv_financ_Mensal_desemb" hidden="1">{#N/A,#N/A,FALSE,"DEF1";#N/A,#N/A,FALSE,"DEF2";#N/A,#N/A,FALSE,"DEF3"}</definedName>
    <definedName name="inver" localSheetId="3"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ver" localSheetId="6"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ver" localSheetId="7"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ver" localSheetId="10"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ver" localSheetId="11"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ver" localSheetId="5"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ver" localSheetId="4"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ver"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version" localSheetId="3"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version" localSheetId="6"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version" localSheetId="7"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version" localSheetId="10"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version" localSheetId="11"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version" localSheetId="5"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version" localSheetId="4"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version"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versión" localSheetId="3"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versión" localSheetId="6"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versión" localSheetId="7"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versión" localSheetId="10"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versión" localSheetId="11"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versión" localSheetId="5"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versión" localSheetId="4"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versión"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versiones" localSheetId="3"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versiones" localSheetId="6"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versiones" localSheetId="7"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versiones" localSheetId="10"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versiones" localSheetId="11"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versiones" localSheetId="5"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versiones" localSheetId="4"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nversiones"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IQ_ACCOUNT_CHANGE" hidden="1">"c1449"</definedName>
    <definedName name="IQ_ACCOUNTING_STANDARD" hidden="1">"c4539"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DIN" hidden="1">"AUTO"</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MT_OUT" hidden="1">"c2145"</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 hidden="1">"c5315"</definedName>
    <definedName name="IQ_AVG_BROKER_REC_REUT" hidden="1">"c3630"</definedName>
    <definedName name="IQ_AVG_DAILY_VOL" hidden="1">"c65"</definedName>
    <definedName name="IQ_AVG_EMPLOYEES" hidden="1">"c6019"</definedName>
    <definedName name="IQ_AVG_INDUSTRY_REC" hidden="1">"c4455"</definedName>
    <definedName name="IQ_AVG_INDUSTRY_REC_NO" hidden="1">"c4454"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MKTCAP" hidden="1">"c80"</definedName>
    <definedName name="IQ_AVG_PRICE" hidden="1">"c81"</definedName>
    <definedName name="IQ_AVG_SHAREOUTSTANDING" hidden="1">"c83"</definedName>
    <definedName name="IQ_AVG_TEMP_EMPLOYEES" hidden="1">"c6020"</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OUTSTANDING_CURRENT_EST" hidden="1">"c4128"</definedName>
    <definedName name="IQ_BASIC_OUTSTANDING_CURRENT_HIGH_EST" hidden="1">"c4129"</definedName>
    <definedName name="IQ_BASIC_OUTSTANDING_CURRENT_LOW_EST" hidden="1">"c4130"</definedName>
    <definedName name="IQ_BASIC_OUTSTANDING_CURRENT_MEDIAN_EST" hidden="1">"c4131"</definedName>
    <definedName name="IQ_BASIC_OUTSTANDING_CURRENT_NUM_EST" hidden="1">"c4132"</definedName>
    <definedName name="IQ_BASIC_OUTSTANDING_CURRENT_STDDEV_EST" hidden="1">"c4133"</definedName>
    <definedName name="IQ_BASIC_OUTSTANDING_EST" hidden="1">"c4134"</definedName>
    <definedName name="IQ_BASIC_OUTSTANDING_HIGH_EST" hidden="1">"c4135"</definedName>
    <definedName name="IQ_BASIC_OUTSTANDING_LOW_EST" hidden="1">"c4136"</definedName>
    <definedName name="IQ_BASIC_OUTSTANDING_MEDIAN_EST" hidden="1">"c4137"</definedName>
    <definedName name="IQ_BASIC_OUTSTANDING_NUM_EST" hidden="1">"c4138"</definedName>
    <definedName name="IQ_BASIC_OUTSTANDING_STDDEV_EST" hidden="1">"c4139"</definedName>
    <definedName name="IQ_BASIC_WEIGHT" hidden="1">"c87"</definedName>
    <definedName name="IQ_BASIC_WEIGHT_EST" hidden="1">"c4140"</definedName>
    <definedName name="IQ_BASIC_WEIGHT_GUIDANCE" hidden="1">"c4141"</definedName>
    <definedName name="IQ_BASIC_WEIGHT_HIGH_EST" hidden="1">"c4142"</definedName>
    <definedName name="IQ_BASIC_WEIGHT_LOW_EST" hidden="1">"c4143"</definedName>
    <definedName name="IQ_BASIC_WEIGHT_MEDIAN_EST" hidden="1">"c4144"</definedName>
    <definedName name="IQ_BASIC_WEIGHT_NUM_EST" hidden="1">"c4145"</definedName>
    <definedName name="IQ_BASIC_WEIGHT_STDDEV_EST" hidden="1">"c4146"</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ROK_COMMISSION" hidden="1">"c3514"</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ACT_OR_EST_REUT" hidden="1">"c5471"</definedName>
    <definedName name="IQ_BV_EST_REUT" hidden="1">"c5403"</definedName>
    <definedName name="IQ_BV_HIGH_EST_REUT" hidden="1">"c5405"</definedName>
    <definedName name="IQ_BV_LOW_EST_REUT" hidden="1">"c5406"</definedName>
    <definedName name="IQ_BV_MEDIAN_EST_REUT" hidden="1">"c5404"</definedName>
    <definedName name="IQ_BV_NUM_EST_REUT" hidden="1">"c5407"</definedName>
    <definedName name="IQ_BV_OVER_SHARES" hidden="1">"c1349"</definedName>
    <definedName name="IQ_BV_SHARE" hidden="1">"c100"</definedName>
    <definedName name="IQ_BV_SHARE_ACT_OR_EST" hidden="1">"c3587"</definedName>
    <definedName name="IQ_BV_SHARE_ACT_OR_EST_REUT" hidden="1">"c5477"</definedName>
    <definedName name="IQ_BV_SHARE_EST" hidden="1">"c3541"</definedName>
    <definedName name="IQ_BV_SHARE_EST_REUT" hidden="1">"c5439"</definedName>
    <definedName name="IQ_BV_SHARE_HIGH_EST" hidden="1">"c3542"</definedName>
    <definedName name="IQ_BV_SHARE_HIGH_EST_REUT" hidden="1">"c5441"</definedName>
    <definedName name="IQ_BV_SHARE_LOW_EST" hidden="1">"c3543"</definedName>
    <definedName name="IQ_BV_SHARE_LOW_EST_REUT" hidden="1">"c5442"</definedName>
    <definedName name="IQ_BV_SHARE_MEDIAN_EST" hidden="1">"c3544"</definedName>
    <definedName name="IQ_BV_SHARE_MEDIAN_EST_REUT" hidden="1">"c5440"</definedName>
    <definedName name="IQ_BV_SHARE_NUM_EST" hidden="1">"c3539"</definedName>
    <definedName name="IQ_BV_SHARE_NUM_EST_REUT" hidden="1">"c5443"</definedName>
    <definedName name="IQ_BV_SHARE_STDDEV_EST" hidden="1">"c3540"</definedName>
    <definedName name="IQ_BV_SHARE_STDDEV_EST_REUT" hidden="1">"c5444"</definedName>
    <definedName name="IQ_BV_STDDEV_EST_REUT" hidden="1">"c5408"</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ACT_OR_EST_REUT" hidden="1">"c5474"</definedName>
    <definedName name="IQ_CAPEX_BNK" hidden="1">"c110"</definedName>
    <definedName name="IQ_CAPEX_BR" hidden="1">"c111"</definedName>
    <definedName name="IQ_CAPEX_EST" hidden="1">"c3523"</definedName>
    <definedName name="IQ_CAPEX_EST_REUT" hidden="1">"c3969"</definedName>
    <definedName name="IQ_CAPEX_FIN" hidden="1">"c112"</definedName>
    <definedName name="IQ_CAPEX_GUIDANCE" hidden="1">"c4150"</definedName>
    <definedName name="IQ_CAPEX_HIGH_EST" hidden="1">"c3524"</definedName>
    <definedName name="IQ_CAPEX_HIGH_EST_REUT" hidden="1">"c3971"</definedName>
    <definedName name="IQ_CAPEX_HIGH_GUIDANCE" hidden="1">"c4180"</definedName>
    <definedName name="IQ_CAPEX_INS" hidden="1">"c113"</definedName>
    <definedName name="IQ_CAPEX_LOW_EST" hidden="1">"c3525"</definedName>
    <definedName name="IQ_CAPEX_LOW_EST_REUT" hidden="1">"c3972"</definedName>
    <definedName name="IQ_CAPEX_LOW_GUIDANCE" hidden="1">"c4220"</definedName>
    <definedName name="IQ_CAPEX_MEDIAN_EST" hidden="1">"c3526"</definedName>
    <definedName name="IQ_CAPEX_MEDIAN_EST_REUT" hidden="1">"c3970"</definedName>
    <definedName name="IQ_CAPEX_NUM_EST" hidden="1">"c3521"</definedName>
    <definedName name="IQ_CAPEX_NUM_EST_REUT" hidden="1">"c3973"</definedName>
    <definedName name="IQ_CAPEX_STDDEV_EST" hidden="1">"c3522"</definedName>
    <definedName name="IQ_CAPEX_STDDEV_EST_REUT" hidden="1">"c3974"</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CONVERSION" hidden="1">"c117"</definedName>
    <definedName name="IQ_CASH_DUE_BANKS" hidden="1">"c1351"</definedName>
    <definedName name="IQ_CASH_EQUIV" hidden="1">"c118"</definedName>
    <definedName name="IQ_CASH_FINAN" hidden="1">"c119"</definedName>
    <definedName name="IQ_CASH_FLOW_ACT_OR_EST" hidden="1">"c4154"</definedName>
    <definedName name="IQ_CASH_FLOW_EST" hidden="1">"c4153"</definedName>
    <definedName name="IQ_CASH_FLOW_GUIDANCE" hidden="1">"c4155"</definedName>
    <definedName name="IQ_CASH_FLOW_HIGH_EST" hidden="1">"c4156"</definedName>
    <definedName name="IQ_CASH_FLOW_HIGH_GUIDANCE" hidden="1">"c4201"</definedName>
    <definedName name="IQ_CASH_FLOW_LOW_EST" hidden="1">"c4157"</definedName>
    <definedName name="IQ_CASH_FLOW_LOW_GUIDANCE" hidden="1">"c4241"</definedName>
    <definedName name="IQ_CASH_FLOW_MEDIAN_EST" hidden="1">"c4158"</definedName>
    <definedName name="IQ_CASH_FLOW_NUM_EST" hidden="1">"c4159"</definedName>
    <definedName name="IQ_CASH_FLOW_STDDEV_EST" hidden="1">"c4160"</definedName>
    <definedName name="IQ_CASH_INTEREST" hidden="1">"c120"</definedName>
    <definedName name="IQ_CASH_INVEST" hidden="1">"c121"</definedName>
    <definedName name="IQ_CASH_OPER" hidden="1">"c122"</definedName>
    <definedName name="IQ_CASH_OPER_ACT_OR_EST" hidden="1">"c4164"</definedName>
    <definedName name="IQ_CASH_OPER_EST" hidden="1">"c4163"</definedName>
    <definedName name="IQ_CASH_OPER_GUIDANCE" hidden="1">"c4165"</definedName>
    <definedName name="IQ_CASH_OPER_HIGH_EST" hidden="1">"c4166"</definedName>
    <definedName name="IQ_CASH_OPER_HIGH_GUIDANCE" hidden="1">"c4185"</definedName>
    <definedName name="IQ_CASH_OPER_LOW_EST" hidden="1">"c4244"</definedName>
    <definedName name="IQ_CASH_OPER_LOW_GUIDANCE" hidden="1">"c4225"</definedName>
    <definedName name="IQ_CASH_OPER_MEDIAN_EST" hidden="1">"c4245"</definedName>
    <definedName name="IQ_CASH_OPER_NUM_EST" hidden="1">"c4246"</definedName>
    <definedName name="IQ_CASH_OPER_STDDEV_EST" hidden="1">"c4247"</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GUIDANCE" hidden="1">"c4250"</definedName>
    <definedName name="IQ_CASH_ST_INVEST_HIGH_EST" hidden="1">"c4251"</definedName>
    <definedName name="IQ_CASH_ST_INVEST_HIGH_GUIDANCE" hidden="1">"c4195"</definedName>
    <definedName name="IQ_CASH_ST_INVEST_LOW_EST" hidden="1">"c4252"</definedName>
    <definedName name="IQ_CASH_ST_INVEST_LOW_GUIDANCE" hidden="1">"c4235"</definedName>
    <definedName name="IQ_CASH_ST_INVEST_MEDIAN_EST" hidden="1">"c4253"</definedName>
    <definedName name="IQ_CASH_ST_INVEST_NUM_EST" hidden="1">"c4254"</definedName>
    <definedName name="IQ_CASH_ST_INVEST_STDDEV_EST" hidden="1">"c4255"</definedName>
    <definedName name="IQ_CASH_TAXES" hidden="1">"c125"</definedName>
    <definedName name="IQ_CDS_ASK" hidden="1">"c6027"</definedName>
    <definedName name="IQ_CDS_BID" hidden="1">"c6026"</definedName>
    <definedName name="IQ_CDS_CURRENCY" hidden="1">"c6031"</definedName>
    <definedName name="IQ_CDS_EVAL_DATE" hidden="1">"c6029"</definedName>
    <definedName name="IQ_CDS_MID" hidden="1">"c6028"</definedName>
    <definedName name="IQ_CDS_NAME" hidden="1">"c6034"</definedName>
    <definedName name="IQ_CDS_TERM" hidden="1">"c6030"</definedName>
    <definedName name="IQ_CDS_TYPE" hidden="1">"c6025"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PS_ACT_OR_EST" hidden="1">"c2217"</definedName>
    <definedName name="IQ_CFPS_ACT_OR_EST_REUT" hidden="1">"c5463"</definedName>
    <definedName name="IQ_CFPS_EST" hidden="1">"c1667"</definedName>
    <definedName name="IQ_CFPS_EST_REUT" hidden="1">"c3844"</definedName>
    <definedName name="IQ_CFPS_GUIDANCE" hidden="1">"c4256"</definedName>
    <definedName name="IQ_CFPS_HIGH_EST" hidden="1">"c1669"</definedName>
    <definedName name="IQ_CFPS_HIGH_EST_REUT" hidden="1">"c3846"</definedName>
    <definedName name="IQ_CFPS_HIGH_GUIDANCE" hidden="1">"c4167"</definedName>
    <definedName name="IQ_CFPS_LOW_EST" hidden="1">"c1670"</definedName>
    <definedName name="IQ_CFPS_LOW_EST_REUT" hidden="1">"c3847"</definedName>
    <definedName name="IQ_CFPS_LOW_GUIDANCE" hidden="1">"c4207"</definedName>
    <definedName name="IQ_CFPS_MEDIAN_EST" hidden="1">"c1668"</definedName>
    <definedName name="IQ_CFPS_MEDIAN_EST_REUT" hidden="1">"c3845"</definedName>
    <definedName name="IQ_CFPS_NUM_EST" hidden="1">"c1671"</definedName>
    <definedName name="IQ_CFPS_NUM_EST_REUT" hidden="1">"c3848"</definedName>
    <definedName name="IQ_CFPS_STDDEV_EST" hidden="1">"c1672"</definedName>
    <definedName name="IQ_CFPS_STDDEV_EST_REUT" hidden="1">"c3849"</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EXP_DATE" hidden="1">"c3043"</definedName>
    <definedName name="IQ_CONV_PREMIUM" hidden="1">"c2195"</definedName>
    <definedName name="IQ_CONV_PRICE" hidden="1">"c2193"</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TY_EST" hidden="1">"c4257"</definedName>
    <definedName name="IQ_DEBT_EQUITY_HIGH_EST" hidden="1">"c4258"</definedName>
    <definedName name="IQ_DEBT_EQUITY_LOW_EST" hidden="1">"c4259"</definedName>
    <definedName name="IQ_DEBT_EQUITY_MEDIAN_EST" hidden="1">"c4260"</definedName>
    <definedName name="IQ_DEBT_EQUITY_NUM_EST" hidden="1">"c4261"</definedName>
    <definedName name="IQ_DEBT_EQUITY_STDDEV_EST" hidden="1">"c4262"</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OSITS_INTEREST_SECURITIES" hidden="1">"c5509"</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FF_LASTCLOSE_TARGET_PRICE_REUT" hidden="1">"c5436"</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HIGH_EST" hidden="1">"c4264"</definedName>
    <definedName name="IQ_DILUT_OUTSTANDING_CURRENT_LOW_EST" hidden="1">"c4265"</definedName>
    <definedName name="IQ_DILUT_OUTSTANDING_CURRENT_MEDIAN_EST" hidden="1">"c4266"</definedName>
    <definedName name="IQ_DILUT_OUTSTANDING_CURRENT_NUM_EST" hidden="1">"c4267"</definedName>
    <definedName name="IQ_DILUT_OUTSTANDING_CURRENT_STDDEV_EST" hidden="1">"c4268"</definedName>
    <definedName name="IQ_DILUT_WEIGHT" hidden="1">"c326"</definedName>
    <definedName name="IQ_DILUT_WEIGHT_EST" hidden="1">"c4269"</definedName>
    <definedName name="IQ_DILUT_WEIGHT_GUIDANCE" hidden="1">"c4270"</definedName>
    <definedName name="IQ_DILUT_WEIGHT_HIGH_EST" hidden="1">"c4271"</definedName>
    <definedName name="IQ_DILUT_WEIGHT_LOW_EST" hidden="1">"c4272"</definedName>
    <definedName name="IQ_DILUT_WEIGHT_MEDIAN_EST" hidden="1">"c4273"</definedName>
    <definedName name="IQ_DILUT_WEIGHT_NUM_EST" hidden="1">"c4274"</definedName>
    <definedName name="IQ_DILUT_WEIGHT_STDDEV_EST" hidden="1">"c4275"</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 hidden="1">"c4278"</definedName>
    <definedName name="IQ_DISTRIBUTABLE_CASH_EST" hidden="1">"c4277"</definedName>
    <definedName name="IQ_DISTRIBUTABLE_CASH_GUIDANCE" hidden="1">"c4279"</definedName>
    <definedName name="IQ_DISTRIBUTABLE_CASH_HIGH_EST" hidden="1">"c4280"</definedName>
    <definedName name="IQ_DISTRIBUTABLE_CASH_HIGH_GUIDANCE" hidden="1">"c4198"</definedName>
    <definedName name="IQ_DISTRIBUTABLE_CASH_LOW_EST" hidden="1">"c4281"</definedName>
    <definedName name="IQ_DISTRIBUTABLE_CASH_LOW_GUIDANCE" hidden="1">"c4238"</definedName>
    <definedName name="IQ_DISTRIBUTABLE_CASH_MEDIAN_EST" hidden="1">"c4282"</definedName>
    <definedName name="IQ_DISTRIBUTABLE_CASH_NUM_EST" hidden="1">"c4283"</definedName>
    <definedName name="IQ_DISTRIBUTABLE_CASH_PAYOUT" hidden="1">"c3005"</definedName>
    <definedName name="IQ_DISTRIBUTABLE_CASH_SHARE" hidden="1">"c3003"</definedName>
    <definedName name="IQ_DISTRIBUTABLE_CASH_SHARE_ACT_OR_EST" hidden="1">"c4286"</definedName>
    <definedName name="IQ_DISTRIBUTABLE_CASH_SHARE_EST" hidden="1">"c4285"</definedName>
    <definedName name="IQ_DISTRIBUTABLE_CASH_SHARE_GUIDANCE" hidden="1">"c4287"</definedName>
    <definedName name="IQ_DISTRIBUTABLE_CASH_SHARE_HIGH_EST" hidden="1">"c4288"</definedName>
    <definedName name="IQ_DISTRIBUTABLE_CASH_SHARE_HIGH_GUIDANCE" hidden="1">"c4199"</definedName>
    <definedName name="IQ_DISTRIBUTABLE_CASH_SHARE_LOW_EST" hidden="1">"c4289"</definedName>
    <definedName name="IQ_DISTRIBUTABLE_CASH_SHARE_LOW_GUIDANCE" hidden="1">"c4239"</definedName>
    <definedName name="IQ_DISTRIBUTABLE_CASH_SHARE_MEDIAN_EST" hidden="1">"c4290"</definedName>
    <definedName name="IQ_DISTRIBUTABLE_CASH_SHARE_NUM_EST" hidden="1">"c4291"</definedName>
    <definedName name="IQ_DISTRIBUTABLE_CASH_SHARE_STDDEV_EST" hidden="1">"c4292"</definedName>
    <definedName name="IQ_DISTRIBUTABLE_CASH_STDDEV_EST" hidden="1">"c4294"</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EST" hidden="1">"c4296"</definedName>
    <definedName name="IQ_DIVIDEND_HIGH_EST" hidden="1">"c4297"</definedName>
    <definedName name="IQ_DIVIDEND_LOW_EST" hidden="1">"c4298"</definedName>
    <definedName name="IQ_DIVIDEND_MEDIAN_EST" hidden="1">"c4299"</definedName>
    <definedName name="IQ_DIVIDEND_NUM_EST" hidden="1">"c4300"</definedName>
    <definedName name="IQ_DIVIDEND_STDDEV_EST" hidden="1">"c4301"</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ACT_OR_EST_REUT" hidden="1">"c5464"</definedName>
    <definedName name="IQ_DPS_EST" hidden="1">"c1674"</definedName>
    <definedName name="IQ_DPS_EST_BOTTOM_UP" hidden="1">"c5493"</definedName>
    <definedName name="IQ_DPS_EST_BOTTOM_UP_REUT" hidden="1">"c5501"</definedName>
    <definedName name="IQ_DPS_EST_REUT" hidden="1">"c3851"</definedName>
    <definedName name="IQ_DPS_GUIDANCE" hidden="1">"c4302"</definedName>
    <definedName name="IQ_DPS_HIGH_EST" hidden="1">"c1676"</definedName>
    <definedName name="IQ_DPS_HIGH_EST_REUT" hidden="1">"c3853"</definedName>
    <definedName name="IQ_DPS_HIGH_GUIDANCE" hidden="1">"c4168"</definedName>
    <definedName name="IQ_DPS_LOW_EST" hidden="1">"c1677"</definedName>
    <definedName name="IQ_DPS_LOW_EST_REUT" hidden="1">"c3854"</definedName>
    <definedName name="IQ_DPS_LOW_GUIDANCE" hidden="1">"c4208"</definedName>
    <definedName name="IQ_DPS_MEDIAN_EST" hidden="1">"c1675"</definedName>
    <definedName name="IQ_DPS_MEDIAN_EST_REUT" hidden="1">"c3852"</definedName>
    <definedName name="IQ_DPS_NUM_EST" hidden="1">"c1678"</definedName>
    <definedName name="IQ_DPS_NUM_EST_REUT" hidden="1">"c3855"</definedName>
    <definedName name="IQ_DPS_STDDEV_EST" hidden="1">"c1679"</definedName>
    <definedName name="IQ_DPS_STDDEV_EST_REUT" hidden="1">"c3856"</definedName>
    <definedName name="IQ_DURATION" hidden="1">"c2181"</definedName>
    <definedName name="IQ_EARNING_ASSET_YIELD" hidden="1">"c343"</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REUT" hidden="1">"c5314"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ACT_OR_EST_REUT" hidden="1">"c5465"</definedName>
    <definedName name="IQ_EBIT_EQ_INC" hidden="1">"c3498"</definedName>
    <definedName name="IQ_EBIT_EQ_INC_EXCL_SBC" hidden="1">"c3502"</definedName>
    <definedName name="IQ_EBIT_EST" hidden="1">"c1681"</definedName>
    <definedName name="IQ_EBIT_EST_REUT" hidden="1">"c5333"</definedName>
    <definedName name="IQ_EBIT_EXCL_SBC" hidden="1">"c3082"</definedName>
    <definedName name="IQ_EBIT_GUIDANCE" hidden="1">"c4303"</definedName>
    <definedName name="IQ_EBIT_GW_ACT_OR_EST" hidden="1">"c4306"</definedName>
    <definedName name="IQ_EBIT_GW_EST" hidden="1">"c4305"</definedName>
    <definedName name="IQ_EBIT_GW_GUIDANCE" hidden="1">"c4307"</definedName>
    <definedName name="IQ_EBIT_GW_HIGH_EST" hidden="1">"c4308"</definedName>
    <definedName name="IQ_EBIT_GW_HIGH_GUIDANCE" hidden="1">"c4171"</definedName>
    <definedName name="IQ_EBIT_GW_LOW_EST" hidden="1">"c4309"</definedName>
    <definedName name="IQ_EBIT_GW_LOW_GUIDANCE" hidden="1">"c4211"</definedName>
    <definedName name="IQ_EBIT_GW_MEDIAN_EST" hidden="1">"c4310"</definedName>
    <definedName name="IQ_EBIT_GW_NUM_EST" hidden="1">"c4311"</definedName>
    <definedName name="IQ_EBIT_GW_STDDEV_EST" hidden="1">"c4312"</definedName>
    <definedName name="IQ_EBIT_HIGH_EST" hidden="1">"c1683"</definedName>
    <definedName name="IQ_EBIT_HIGH_EST_REUT" hidden="1">"c5335"</definedName>
    <definedName name="IQ_EBIT_HIGH_GUIDANCE" hidden="1">"c4172"</definedName>
    <definedName name="IQ_EBIT_INT" hidden="1">"c360"</definedName>
    <definedName name="IQ_EBIT_LOW_EST" hidden="1">"c1684"</definedName>
    <definedName name="IQ_EBIT_LOW_EST_REUT" hidden="1">"c5336"</definedName>
    <definedName name="IQ_EBIT_LOW_GUIDANCE" hidden="1">"c4212"</definedName>
    <definedName name="IQ_EBIT_MARGIN" hidden="1">"c359"</definedName>
    <definedName name="IQ_EBIT_MEDIAN_EST" hidden="1">"c1682"</definedName>
    <definedName name="IQ_EBIT_MEDIAN_EST_REUT" hidden="1">"c5334"</definedName>
    <definedName name="IQ_EBIT_NUM_EST" hidden="1">"c1685"</definedName>
    <definedName name="IQ_EBIT_NUM_EST_REUT" hidden="1">"c5337"</definedName>
    <definedName name="IQ_EBIT_OVER_IE" hidden="1">"c1369"</definedName>
    <definedName name="IQ_EBIT_SBC_ACT_OR_EST" hidden="1">"c4316"</definedName>
    <definedName name="IQ_EBIT_SBC_EST" hidden="1">"c4315"</definedName>
    <definedName name="IQ_EBIT_SBC_GUIDANCE" hidden="1">"c4317"</definedName>
    <definedName name="IQ_EBIT_SBC_GW_ACT_OR_EST" hidden="1">"c4320"</definedName>
    <definedName name="IQ_EBIT_SBC_GW_EST" hidden="1">"c4319"</definedName>
    <definedName name="IQ_EBIT_SBC_GW_GUIDANCE" hidden="1">"c4321"</definedName>
    <definedName name="IQ_EBIT_SBC_GW_HIGH_EST" hidden="1">"c4322"</definedName>
    <definedName name="IQ_EBIT_SBC_GW_HIGH_GUIDANCE" hidden="1">"c4193"</definedName>
    <definedName name="IQ_EBIT_SBC_GW_LOW_EST" hidden="1">"c4323"</definedName>
    <definedName name="IQ_EBIT_SBC_GW_LOW_GUIDANCE" hidden="1">"c4233"</definedName>
    <definedName name="IQ_EBIT_SBC_GW_MEDIAN_EST" hidden="1">"c4324"</definedName>
    <definedName name="IQ_EBIT_SBC_GW_NUM_EST" hidden="1">"c4325"</definedName>
    <definedName name="IQ_EBIT_SBC_GW_STDDEV_EST" hidden="1">"c4326"</definedName>
    <definedName name="IQ_EBIT_SBC_HIGH_EST" hidden="1">"c4328"</definedName>
    <definedName name="IQ_EBIT_SBC_HIGH_GUIDANCE" hidden="1">"c4192"</definedName>
    <definedName name="IQ_EBIT_SBC_LOW_EST" hidden="1">"c4329"</definedName>
    <definedName name="IQ_EBIT_SBC_LOW_GUIDANCE" hidden="1">"c4232"</definedName>
    <definedName name="IQ_EBIT_SBC_MEDIAN_EST" hidden="1">"c4330"</definedName>
    <definedName name="IQ_EBIT_SBC_NUM_EST" hidden="1">"c4331"</definedName>
    <definedName name="IQ_EBIT_SBC_STDDEV_EST" hidden="1">"c4332"</definedName>
    <definedName name="IQ_EBIT_STDDEV_EST" hidden="1">"c1686"</definedName>
    <definedName name="IQ_EBIT_STDDEV_EST_REUT" hidden="1">"c5338"</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REUT" hidden="1">"c5462"</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 hidden="1">"c3640"</definedName>
    <definedName name="IQ_EBITDA_EXCL_SBC" hidden="1">"c3081"</definedName>
    <definedName name="IQ_EBITDA_GUIDANCE" hidden="1">"c4334"</definedName>
    <definedName name="IQ_EBITDA_HIGH_EST" hidden="1">"c370"</definedName>
    <definedName name="IQ_EBITDA_HIGH_EST_REUT" hidden="1">"c3642"</definedName>
    <definedName name="IQ_EBITDA_HIGH_GUIDANCE" hidden="1">"c4170"</definedName>
    <definedName name="IQ_EBITDA_INT" hidden="1">"c373"</definedName>
    <definedName name="IQ_EBITDA_LOW_EST" hidden="1">"c371"</definedName>
    <definedName name="IQ_EBITDA_LOW_EST_REUT" hidden="1">"c3643"</definedName>
    <definedName name="IQ_EBITDA_LOW_GUIDANCE" hidden="1">"c4210"</definedName>
    <definedName name="IQ_EBITDA_MARGIN" hidden="1">"c372"</definedName>
    <definedName name="IQ_EBITDA_MEDIAN_EST" hidden="1">"c1663"</definedName>
    <definedName name="IQ_EBITDA_MEDIAN_EST_REUT" hidden="1">"c3641"</definedName>
    <definedName name="IQ_EBITDA_NUM_EST" hidden="1">"c374"</definedName>
    <definedName name="IQ_EBITDA_NUM_EST_REUT" hidden="1">"c3644"</definedName>
    <definedName name="IQ_EBITDA_OVER_TOTAL_IE" hidden="1">"c1371"</definedName>
    <definedName name="IQ_EBITDA_SBC_ACT_OR_EST" hidden="1">"c4337"</definedName>
    <definedName name="IQ_EBITDA_SBC_EST" hidden="1">"c4336"</definedName>
    <definedName name="IQ_EBITDA_SBC_GUIDANCE" hidden="1">"c4338"</definedName>
    <definedName name="IQ_EBITDA_SBC_HIGH_EST" hidden="1">"c4339"</definedName>
    <definedName name="IQ_EBITDA_SBC_HIGH_GUIDANCE" hidden="1">"c4194"</definedName>
    <definedName name="IQ_EBITDA_SBC_LOW_EST" hidden="1">"c4340"</definedName>
    <definedName name="IQ_EBITDA_SBC_LOW_GUIDANCE" hidden="1">"c4234"</definedName>
    <definedName name="IQ_EBITDA_SBC_MEDIAN_EST" hidden="1">"c4341"</definedName>
    <definedName name="IQ_EBITDA_SBC_NUM_EST" hidden="1">"c4342"</definedName>
    <definedName name="IQ_EBITDA_SBC_STDDEV_EST" hidden="1">"c4343"</definedName>
    <definedName name="IQ_EBITDA_STDDEV_EST" hidden="1">"c375"</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IN" hidden="1">"c386"</definedName>
    <definedName name="IQ_EBT_GAAP_GUIDANCE" hidden="1">"c4345"</definedName>
    <definedName name="IQ_EBT_GAAP_HIGH_GUIDANCE" hidden="1">"c4174"</definedName>
    <definedName name="IQ_EBT_GAAP_LOW_GUIDANCE" hidden="1">"c4214"</definedName>
    <definedName name="IQ_EBT_GUIDANCE" hidden="1">"c4346"</definedName>
    <definedName name="IQ_EBT_GW_GUIDANCE" hidden="1">"c4347"</definedName>
    <definedName name="IQ_EBT_GW_HIGH_GUIDANCE" hidden="1">"c4175"</definedName>
    <definedName name="IQ_EBT_GW_LOW_GUIDANCE" hidden="1">"c4215"</definedName>
    <definedName name="IQ_EBT_HIGH_GUIDANCE" hidden="1">"c4173"</definedName>
    <definedName name="IQ_EBT_INCL_MARGIN" hidden="1">"c387"</definedName>
    <definedName name="IQ_EBT_INS" hidden="1">"c388"</definedName>
    <definedName name="IQ_EBT_LOW_GUIDANCE" hidden="1">"c4213"</definedName>
    <definedName name="IQ_EBT_RE" hidden="1">"c6215"</definedName>
    <definedName name="IQ_EBT_REIT" hidden="1">"c389"</definedName>
    <definedName name="IQ_EBT_SBC_ACT_OR_EST" hidden="1">"c4350"</definedName>
    <definedName name="IQ_EBT_SBC_EST" hidden="1">"c4349"</definedName>
    <definedName name="IQ_EBT_SBC_GUIDANCE" hidden="1">"c4351"</definedName>
    <definedName name="IQ_EBT_SBC_GW_ACT_OR_EST" hidden="1">"c4354"</definedName>
    <definedName name="IQ_EBT_SBC_GW_EST" hidden="1">"c4353"</definedName>
    <definedName name="IQ_EBT_SBC_GW_GUIDANCE" hidden="1">"c4355"</definedName>
    <definedName name="IQ_EBT_SBC_GW_HIGH_EST" hidden="1">"c4356"</definedName>
    <definedName name="IQ_EBT_SBC_GW_HIGH_GUIDANCE" hidden="1">"c4191"</definedName>
    <definedName name="IQ_EBT_SBC_GW_LOW_EST" hidden="1">"c4357"</definedName>
    <definedName name="IQ_EBT_SBC_GW_LOW_GUIDANCE" hidden="1">"c4231"</definedName>
    <definedName name="IQ_EBT_SBC_GW_MEDIAN_EST" hidden="1">"c4358"</definedName>
    <definedName name="IQ_EBT_SBC_GW_NUM_EST" hidden="1">"c4359"</definedName>
    <definedName name="IQ_EBT_SBC_GW_STDDEV_EST" hidden="1">"c4360"</definedName>
    <definedName name="IQ_EBT_SBC_HIGH_EST" hidden="1">"c4362"</definedName>
    <definedName name="IQ_EBT_SBC_HIGH_GUIDANCE" hidden="1">"c4190"</definedName>
    <definedName name="IQ_EBT_SBC_LOW_EST" hidden="1">"c4363"</definedName>
    <definedName name="IQ_EBT_SBC_LOW_GUIDANCE" hidden="1">"c4230"</definedName>
    <definedName name="IQ_EBT_SBC_MEDIAN_EST" hidden="1">"c4364"</definedName>
    <definedName name="IQ_EBT_SBC_NUM_EST" hidden="1">"c4365"</definedName>
    <definedName name="IQ_EBT_SBC_STDDEV_EST" hidden="1">"c4366"</definedName>
    <definedName name="IQ_EBT_UTI" hidden="1">"c390"</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REUT" hidden="1">"c5460"</definedName>
    <definedName name="IQ_EPS_EST" hidden="1">"c399"</definedName>
    <definedName name="IQ_EPS_EST_BOTTOM_UP" hidden="1">"c5489"</definedName>
    <definedName name="IQ_EPS_EST_BOTTOM_UP_REUT" hidden="1">"c5497"</definedName>
    <definedName name="IQ_EPS_EST_REUT" hidden="1">"c5453"</definedName>
    <definedName name="IQ_EPS_EXCL_GUIDANCE" hidden="1">"c4368"</definedName>
    <definedName name="IQ_EPS_EXCL_HIGH_GUIDANCE" hidden="1">"c4369"</definedName>
    <definedName name="IQ_EPS_EXCL_LOW_GUIDANCE" hidden="1">"c4204"</definedName>
    <definedName name="IQ_EPS_GAAP_GUIDANCE" hidden="1">"c4370"</definedName>
    <definedName name="IQ_EPS_GAAP_HIGH_GUIDANCE" hidden="1">"c4371"</definedName>
    <definedName name="IQ_EPS_GAAP_LOW_GUIDANCE" hidden="1">"c4205"</definedName>
    <definedName name="IQ_EPS_GW_ACT_OR_EST" hidden="1">"c2223"</definedName>
    <definedName name="IQ_EPS_GW_ACT_OR_EST_REUT" hidden="1">"c5469"</definedName>
    <definedName name="IQ_EPS_GW_EST" hidden="1">"c1737"</definedName>
    <definedName name="IQ_EPS_GW_EST_BOTTOM_UP" hidden="1">"c5491"</definedName>
    <definedName name="IQ_EPS_GW_EST_BOTTOM_UP_REUT" hidden="1">"c5499"</definedName>
    <definedName name="IQ_EPS_GW_EST_REUT" hidden="1">"c5389"</definedName>
    <definedName name="IQ_EPS_GW_GUIDANCE" hidden="1">"c4372"</definedName>
    <definedName name="IQ_EPS_GW_HIGH_EST" hidden="1">"c1739"</definedName>
    <definedName name="IQ_EPS_GW_HIGH_EST_REUT" hidden="1">"c5391"</definedName>
    <definedName name="IQ_EPS_GW_HIGH_GUIDANCE" hidden="1">"c4373"</definedName>
    <definedName name="IQ_EPS_GW_LOW_EST" hidden="1">"c1740"</definedName>
    <definedName name="IQ_EPS_GW_LOW_EST_REUT" hidden="1">"c5392"</definedName>
    <definedName name="IQ_EPS_GW_LOW_GUIDANCE" hidden="1">"c4206"</definedName>
    <definedName name="IQ_EPS_GW_MEDIAN_EST" hidden="1">"c1738"</definedName>
    <definedName name="IQ_EPS_GW_MEDIAN_EST_REUT" hidden="1">"c5390"</definedName>
    <definedName name="IQ_EPS_GW_NUM_EST" hidden="1">"c1741"</definedName>
    <definedName name="IQ_EPS_GW_NUM_EST_REUT" hidden="1">"c5393"</definedName>
    <definedName name="IQ_EPS_GW_STDDEV_EST" hidden="1">"c1742"</definedName>
    <definedName name="IQ_EPS_GW_STDDEV_EST_REUT" hidden="1">"c5394"</definedName>
    <definedName name="IQ_EPS_HIGH_EST" hidden="1">"c400"</definedName>
    <definedName name="IQ_EPS_HIGH_EST_REUT" hidden="1">"c5454"</definedName>
    <definedName name="IQ_EPS_LOW_EST" hidden="1">"c401"</definedName>
    <definedName name="IQ_EPS_LOW_EST_REUT" hidden="1">"c5455"</definedName>
    <definedName name="IQ_EPS_MEDIAN_EST" hidden="1">"c1661"</definedName>
    <definedName name="IQ_EPS_MEDIAN_EST_REUT" hidden="1">"c5456"</definedName>
    <definedName name="IQ_EPS_NORM" hidden="1">"c1902"</definedName>
    <definedName name="IQ_EPS_NORM_EST" hidden="1">"c2226"</definedName>
    <definedName name="IQ_EPS_NORM_EST_BOTTOM_UP" hidden="1">"c5490"</definedName>
    <definedName name="IQ_EPS_NORM_EST_BOTTOM_UP_REUT" hidden="1">"c5498"</definedName>
    <definedName name="IQ_EPS_NORM_EST_REUT" hidden="1">"c5326"</definedName>
    <definedName name="IQ_EPS_NORM_HIGH_EST" hidden="1">"c2228"</definedName>
    <definedName name="IQ_EPS_NORM_HIGH_EST_REUT" hidden="1">"c5328"</definedName>
    <definedName name="IQ_EPS_NORM_LOW_EST" hidden="1">"c2229"</definedName>
    <definedName name="IQ_EPS_NORM_LOW_EST_REUT" hidden="1">"c5329"</definedName>
    <definedName name="IQ_EPS_NORM_MEDIAN_EST" hidden="1">"c2227"</definedName>
    <definedName name="IQ_EPS_NORM_MEDIAN_EST_REUT" hidden="1">"c5327"</definedName>
    <definedName name="IQ_EPS_NORM_NUM_EST" hidden="1">"c2230"</definedName>
    <definedName name="IQ_EPS_NORM_NUM_EST_REUT" hidden="1">"c5330"</definedName>
    <definedName name="IQ_EPS_NORM_STDDEV_EST" hidden="1">"c2231"</definedName>
    <definedName name="IQ_EPS_NORM_STDDEV_EST_REUT" hidden="1">"c5331"</definedName>
    <definedName name="IQ_EPS_NUM_EST" hidden="1">"c402"</definedName>
    <definedName name="IQ_EPS_NUM_EST_REUT" hidden="1">"c5451"</definedName>
    <definedName name="IQ_EPS_REPORT_ACT_OR_EST" hidden="1">"c2224"</definedName>
    <definedName name="IQ_EPS_REPORT_ACT_OR_EST_REUT" hidden="1">"c5470"</definedName>
    <definedName name="IQ_EPS_REPORTED_EST" hidden="1">"c1744"</definedName>
    <definedName name="IQ_EPS_REPORTED_EST_BOTTOM_UP" hidden="1">"c5492"</definedName>
    <definedName name="IQ_EPS_REPORTED_EST_BOTTOM_UP_REUT" hidden="1">"c5500"</definedName>
    <definedName name="IQ_EPS_REPORTED_EST_REUT" hidden="1">"c5396"</definedName>
    <definedName name="IQ_EPS_REPORTED_HIGH_EST" hidden="1">"c1746"</definedName>
    <definedName name="IQ_EPS_REPORTED_HIGH_EST_REUT" hidden="1">"c5398"</definedName>
    <definedName name="IQ_EPS_REPORTED_LOW_EST" hidden="1">"c1747"</definedName>
    <definedName name="IQ_EPS_REPORTED_LOW_EST_REUT" hidden="1">"c5399"</definedName>
    <definedName name="IQ_EPS_REPORTED_MEDIAN_EST" hidden="1">"c1745"</definedName>
    <definedName name="IQ_EPS_REPORTED_MEDIAN_EST_REUT" hidden="1">"c5397"</definedName>
    <definedName name="IQ_EPS_REPORTED_NUM_EST" hidden="1">"c1748"</definedName>
    <definedName name="IQ_EPS_REPORTED_NUM_EST_REUT" hidden="1">"c5400"</definedName>
    <definedName name="IQ_EPS_REPORTED_STDDEV_EST" hidden="1">"c1749"</definedName>
    <definedName name="IQ_EPS_REPORTED_STDDEV_EST_REUT" hidden="1">"c5401"</definedName>
    <definedName name="IQ_EPS_SBC_ACT_OR_EST" hidden="1">"c4376"</definedName>
    <definedName name="IQ_EPS_SBC_EST" hidden="1">"c4375"</definedName>
    <definedName name="IQ_EPS_SBC_GUIDANCE" hidden="1">"c4377"</definedName>
    <definedName name="IQ_EPS_SBC_GW_ACT_OR_EST" hidden="1">"c4380"</definedName>
    <definedName name="IQ_EPS_SBC_GW_EST" hidden="1">"c4379"</definedName>
    <definedName name="IQ_EPS_SBC_GW_GUIDANCE" hidden="1">"c4381"</definedName>
    <definedName name="IQ_EPS_SBC_GW_HIGH_EST" hidden="1">"c4382"</definedName>
    <definedName name="IQ_EPS_SBC_GW_HIGH_GUIDANCE" hidden="1">"c4189"</definedName>
    <definedName name="IQ_EPS_SBC_GW_LOW_EST" hidden="1">"c4383"</definedName>
    <definedName name="IQ_EPS_SBC_GW_LOW_GUIDANCE" hidden="1">"c4229"</definedName>
    <definedName name="IQ_EPS_SBC_GW_MEDIAN_EST" hidden="1">"c4384"</definedName>
    <definedName name="IQ_EPS_SBC_GW_NUM_EST" hidden="1">"c4385"</definedName>
    <definedName name="IQ_EPS_SBC_GW_STDDEV_EST" hidden="1">"c4386"</definedName>
    <definedName name="IQ_EPS_SBC_HIGH_EST" hidden="1">"c4388"</definedName>
    <definedName name="IQ_EPS_SBC_HIGH_GUIDANCE" hidden="1">"c4188"</definedName>
    <definedName name="IQ_EPS_SBC_LOW_EST" hidden="1">"c4389"</definedName>
    <definedName name="IQ_EPS_SBC_LOW_GUIDANCE" hidden="1">"c4228"</definedName>
    <definedName name="IQ_EPS_SBC_MEDIAN_EST" hidden="1">"c4390"</definedName>
    <definedName name="IQ_EPS_SBC_NUM_EST" hidden="1">"c4391"</definedName>
    <definedName name="IQ_EPS_SBC_STDDEV_EST" hidden="1">"c4392"</definedName>
    <definedName name="IQ_EPS_STDDEV_EST" hidden="1">"c403"</definedName>
    <definedName name="IQ_EPS_STDDEV_EST_REUT" hidden="1">"c5452"</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BV_REUT" hidden="1">"c5409"</definedName>
    <definedName name="IQ_EST_ACT_BV_SHARE" hidden="1">"c3549"</definedName>
    <definedName name="IQ_EST_ACT_BV_SHARE_REUT" hidden="1">"c5445"</definedName>
    <definedName name="IQ_EST_ACT_CAPEX" hidden="1">"c3546"</definedName>
    <definedName name="IQ_EST_ACT_CAPEX_REUT" hidden="1">"c3975"</definedName>
    <definedName name="IQ_EST_ACT_CASH_FLOW" hidden="1">"c4394"</definedName>
    <definedName name="IQ_EST_ACT_CASH_OPER" hidden="1">"c4395"</definedName>
    <definedName name="IQ_EST_ACT_CFPS" hidden="1">"c1673"</definedName>
    <definedName name="IQ_EST_ACT_CFPS_REUT" hidden="1">"c3850"</definedName>
    <definedName name="IQ_EST_ACT_DISTRIBUTABLE_CASH" hidden="1">"c4396"</definedName>
    <definedName name="IQ_EST_ACT_DISTRIBUTABLE_CASH_SHARE" hidden="1">"c4397"</definedName>
    <definedName name="IQ_EST_ACT_DPS" hidden="1">"c1680"</definedName>
    <definedName name="IQ_EST_ACT_DPS_REUT" hidden="1">"c3857"</definedName>
    <definedName name="IQ_EST_ACT_EBIT" hidden="1">"c1687"</definedName>
    <definedName name="IQ_EST_ACT_EBIT_GW" hidden="1">"c4398"</definedName>
    <definedName name="IQ_EST_ACT_EBIT_REUT" hidden="1">"c5339"</definedName>
    <definedName name="IQ_EST_ACT_EBIT_SBC" hidden="1">"c4399"</definedName>
    <definedName name="IQ_EST_ACT_EBIT_SBC_GW" hidden="1">"c4400"</definedName>
    <definedName name="IQ_EST_ACT_EBITDA" hidden="1">"c1664"</definedName>
    <definedName name="IQ_EST_ACT_EBITDA_REUT" hidden="1">"c3836"</definedName>
    <definedName name="IQ_EST_ACT_EBITDA_SBC" hidden="1">"c4401"</definedName>
    <definedName name="IQ_EST_ACT_EBT_SBC" hidden="1">"c4402"</definedName>
    <definedName name="IQ_EST_ACT_EBT_SBC_GW" hidden="1">"c4403"</definedName>
    <definedName name="IQ_EST_ACT_EPS" hidden="1">"c1648"</definedName>
    <definedName name="IQ_EST_ACT_EPS_GW" hidden="1">"c1743"</definedName>
    <definedName name="IQ_EST_ACT_EPS_GW_REUT" hidden="1">"c5395"</definedName>
    <definedName name="IQ_EST_ACT_EPS_NORM" hidden="1">"c2232"</definedName>
    <definedName name="IQ_EST_ACT_EPS_NORM_REUT" hidden="1">"c5332"</definedName>
    <definedName name="IQ_EST_ACT_EPS_REPORTED" hidden="1">"c1750"</definedName>
    <definedName name="IQ_EST_ACT_EPS_REPORTED_REUT" hidden="1">"c5402"</definedName>
    <definedName name="IQ_EST_ACT_EPS_REUT" hidden="1">"c5457"</definedName>
    <definedName name="IQ_EST_ACT_EPS_SBC" hidden="1">"c4404"</definedName>
    <definedName name="IQ_EST_ACT_EPS_SBC_GW" hidden="1">"c4405"</definedName>
    <definedName name="IQ_EST_ACT_FFO" hidden="1">"c1666"</definedName>
    <definedName name="IQ_EST_ACT_FFO_ADJ" hidden="1">"c4406"</definedName>
    <definedName name="IQ_EST_ACT_FFO_REUT" hidden="1">"c3843"</definedName>
    <definedName name="IQ_EST_ACT_FFO_SHARE" hidden="1">"c4407"</definedName>
    <definedName name="IQ_EST_ACT_GROSS_MARGIN" hidden="1">"c5553"</definedName>
    <definedName name="IQ_EST_ACT_MAINT_CAPEX" hidden="1">"c4408"</definedName>
    <definedName name="IQ_EST_ACT_NAV" hidden="1">"c1757"</definedName>
    <definedName name="IQ_EST_ACT_NET_DEBT" hidden="1">"c3545"</definedName>
    <definedName name="IQ_EST_ACT_NET_DEBT_REUT" hidden="1">"c5446"</definedName>
    <definedName name="IQ_EST_ACT_NI" hidden="1">"c1722"</definedName>
    <definedName name="IQ_EST_ACT_NI_GW" hidden="1">"c1729"</definedName>
    <definedName name="IQ_EST_ACT_NI_GW_REUT" hidden="1">"c5381"</definedName>
    <definedName name="IQ_EST_ACT_NI_REPORTED" hidden="1">"c1736"</definedName>
    <definedName name="IQ_EST_ACT_NI_REPORTED_REUT" hidden="1">"c5388"</definedName>
    <definedName name="IQ_EST_ACT_NI_REUT" hidden="1">"c5374"</definedName>
    <definedName name="IQ_EST_ACT_NI_SBC" hidden="1">"c4409"</definedName>
    <definedName name="IQ_EST_ACT_NI_SBC_GW" hidden="1">"c4410"</definedName>
    <definedName name="IQ_EST_ACT_OPER_INC" hidden="1">"c1694"</definedName>
    <definedName name="IQ_EST_ACT_OPER_INC_REUT" hidden="1">"c5346"</definedName>
    <definedName name="IQ_EST_ACT_PRETAX_GW_INC" hidden="1">"c1708"</definedName>
    <definedName name="IQ_EST_ACT_PRETAX_GW_INC_REUT" hidden="1">"c5360"</definedName>
    <definedName name="IQ_EST_ACT_PRETAX_INC" hidden="1">"c1701"</definedName>
    <definedName name="IQ_EST_ACT_PRETAX_INC_REUT" hidden="1">"c5353"</definedName>
    <definedName name="IQ_EST_ACT_PRETAX_REPORT_INC" hidden="1">"c1715"</definedName>
    <definedName name="IQ_EST_ACT_PRETAX_REPORT_INC_REUT" hidden="1">"c5367"</definedName>
    <definedName name="IQ_EST_ACT_RECURRING_PROFIT" hidden="1">"c4411"</definedName>
    <definedName name="IQ_EST_ACT_RECURRING_PROFIT_SHARE" hidden="1">"c4412"</definedName>
    <definedName name="IQ_EST_ACT_RETURN_ASSETS" hidden="1">"c3547"</definedName>
    <definedName name="IQ_EST_ACT_RETURN_ASSETS_REUT" hidden="1">"c3996"</definedName>
    <definedName name="IQ_EST_ACT_RETURN_EQUITY" hidden="1">"c3548"</definedName>
    <definedName name="IQ_EST_ACT_RETURN_EQUITY_REUT" hidden="1">"c3989"</definedName>
    <definedName name="IQ_EST_ACT_REV" hidden="1">"c2113"</definedName>
    <definedName name="IQ_EST_ACT_REV_REUT" hidden="1">"c3835"</definedName>
    <definedName name="IQ_EST_BV_DIFF_REUT" hidden="1">"c5433"</definedName>
    <definedName name="IQ_EST_BV_SHARE_DIFF" hidden="1">"c4147"</definedName>
    <definedName name="IQ_EST_BV_SHARE_SURPRISE_PERCENT" hidden="1">"c4148"</definedName>
    <definedName name="IQ_EST_BV_SURPRISE_PERCENT_REUT" hidden="1">"c5434"</definedName>
    <definedName name="IQ_EST_CAPEX_DIFF" hidden="1">"c4149"</definedName>
    <definedName name="IQ_EST_CAPEX_GROWTH_1YR" hidden="1">"c3588"</definedName>
    <definedName name="IQ_EST_CAPEX_GROWTH_1YR_REUT" hidden="1">"c5447"</definedName>
    <definedName name="IQ_EST_CAPEX_GROWTH_2YR" hidden="1">"c3589"</definedName>
    <definedName name="IQ_EST_CAPEX_GROWTH_2YR_REUT" hidden="1">"c5448"</definedName>
    <definedName name="IQ_EST_CAPEX_GROWTH_Q_1YR" hidden="1">"c3590"</definedName>
    <definedName name="IQ_EST_CAPEX_GROWTH_Q_1YR_REUT" hidden="1">"c5449"</definedName>
    <definedName name="IQ_EST_CAPEX_SEQ_GROWTH_Q" hidden="1">"c3591"</definedName>
    <definedName name="IQ_EST_CAPEX_SEQ_GROWTH_Q_REUT" hidden="1">"c5450"</definedName>
    <definedName name="IQ_EST_CAPEX_SURPRISE_PERCENT" hidden="1">"c4151"</definedName>
    <definedName name="IQ_EST_CASH_FLOW_DIFF" hidden="1">"c4152"</definedName>
    <definedName name="IQ_EST_CASH_FLOW_SURPRISE_PERCENT" hidden="1">"c4161"</definedName>
    <definedName name="IQ_EST_CASH_OPER_DIFF" hidden="1">"c4162"</definedName>
    <definedName name="IQ_EST_CASH_OPER_SURPRISE_PERCENT" hidden="1">"c4248"</definedName>
    <definedName name="IQ_EST_CFPS_DIFF" hidden="1">"c1871"</definedName>
    <definedName name="IQ_EST_CFPS_DIFF_REUT" hidden="1">"c3892"</definedName>
    <definedName name="IQ_EST_CFPS_GROWTH_1YR" hidden="1">"c1774"</definedName>
    <definedName name="IQ_EST_CFPS_GROWTH_1YR_REUT" hidden="1">"c3878"</definedName>
    <definedName name="IQ_EST_CFPS_GROWTH_2YR" hidden="1">"c1775"</definedName>
    <definedName name="IQ_EST_CFPS_GROWTH_2YR_REUT" hidden="1">"c3879"</definedName>
    <definedName name="IQ_EST_CFPS_GROWTH_Q_1YR" hidden="1">"c1776"</definedName>
    <definedName name="IQ_EST_CFPS_GROWTH_Q_1YR_REUT" hidden="1">"c3880"</definedName>
    <definedName name="IQ_EST_CFPS_SEQ_GROWTH_Q" hidden="1">"c1777"</definedName>
    <definedName name="IQ_EST_CFPS_SEQ_GROWTH_Q_REUT" hidden="1">"c3881"</definedName>
    <definedName name="IQ_EST_CFPS_SURPRISE_PERCENT" hidden="1">"c1872"</definedName>
    <definedName name="IQ_EST_CFPS_SURPRISE_PERCENT_REUT" hidden="1">"c3893"</definedName>
    <definedName name="IQ_EST_CURRENCY" hidden="1">"c2140"</definedName>
    <definedName name="IQ_EST_CURRENCY_REUT" hidden="1">"c5437"</definedName>
    <definedName name="IQ_EST_DATE" hidden="1">"c1634"</definedName>
    <definedName name="IQ_EST_DATE_REUT" hidden="1">"c5438"</definedName>
    <definedName name="IQ_EST_DISTRIBUTABLE_CASH_DIFF" hidden="1">"c4276"</definedName>
    <definedName name="IQ_EST_DISTRIBUTABLE_CASH_GROWTH_1YR" hidden="1">"c4413"</definedName>
    <definedName name="IQ_EST_DISTRIBUTABLE_CASH_GROWTH_2YR" hidden="1">"c4414"</definedName>
    <definedName name="IQ_EST_DISTRIBUTABLE_CASH_GROWTH_Q_1YR" hidden="1">"c4415"</definedName>
    <definedName name="IQ_EST_DISTRIBUTABLE_CASH_SEQ_GROWTH_Q" hidden="1">"c4416"</definedName>
    <definedName name="IQ_EST_DISTRIBUTABLE_CASH_SHARE_DIFF" hidden="1">"c4284"</definedName>
    <definedName name="IQ_EST_DISTRIBUTABLE_CASH_SHARE_GROWTH_1YR" hidden="1">"c4417"</definedName>
    <definedName name="IQ_EST_DISTRIBUTABLE_CASH_SHARE_GROWTH_2YR" hidden="1">"c4418"</definedName>
    <definedName name="IQ_EST_DISTRIBUTABLE_CASH_SHARE_GROWTH_Q_1YR" hidden="1">"c4419"</definedName>
    <definedName name="IQ_EST_DISTRIBUTABLE_CASH_SHARE_SEQ_GROWTH_Q" hidden="1">"c4420"</definedName>
    <definedName name="IQ_EST_DISTRIBUTABLE_CASH_SHARE_SURPRISE_PERCENT" hidden="1">"c4293"</definedName>
    <definedName name="IQ_EST_DISTRIBUTABLE_CASH_SURPRISE_PERCENT" hidden="1">"c4295"</definedName>
    <definedName name="IQ_EST_DPS_DIFF" hidden="1">"c1873"</definedName>
    <definedName name="IQ_EST_DPS_DIFF_REUT" hidden="1">"c3894"</definedName>
    <definedName name="IQ_EST_DPS_GROWTH_1YR" hidden="1">"c1778"</definedName>
    <definedName name="IQ_EST_DPS_GROWTH_1YR_REUT" hidden="1">"c3882"</definedName>
    <definedName name="IQ_EST_DPS_GROWTH_2YR" hidden="1">"c1779"</definedName>
    <definedName name="IQ_EST_DPS_GROWTH_2YR_REUT" hidden="1">"c3883"</definedName>
    <definedName name="IQ_EST_DPS_GROWTH_Q_1YR" hidden="1">"c1780"</definedName>
    <definedName name="IQ_EST_DPS_GROWTH_Q_1YR_REUT" hidden="1">"c3884"</definedName>
    <definedName name="IQ_EST_DPS_SEQ_GROWTH_Q" hidden="1">"c1781"</definedName>
    <definedName name="IQ_EST_DPS_SEQ_GROWTH_Q_REUT" hidden="1">"c3885"</definedName>
    <definedName name="IQ_EST_DPS_SURPRISE_PERCENT" hidden="1">"c1874"</definedName>
    <definedName name="IQ_EST_DPS_SURPRISE_PERCENT_REUT" hidden="1">"c3895"</definedName>
    <definedName name="IQ_EST_EBIT_DIFF" hidden="1">"c1875"</definedName>
    <definedName name="IQ_EST_EBIT_DIFF_REUT" hidden="1">"c5413"</definedName>
    <definedName name="IQ_EST_EBIT_GW_DIFF" hidden="1">"c4304"</definedName>
    <definedName name="IQ_EST_EBIT_GW_SURPRISE_PERCENT" hidden="1">"c4313"</definedName>
    <definedName name="IQ_EST_EBIT_SBC_DIFF" hidden="1">"c4314"</definedName>
    <definedName name="IQ_EST_EBIT_SBC_GW_DIFF" hidden="1">"c4318"</definedName>
    <definedName name="IQ_EST_EBIT_SBC_GW_SURPRISE_PERCENT" hidden="1">"c4327"</definedName>
    <definedName name="IQ_EST_EBIT_SBC_SURPRISE_PERCENT" hidden="1">"c4333"</definedName>
    <definedName name="IQ_EST_EBIT_SURPRISE_PERCENT" hidden="1">"c1876"</definedName>
    <definedName name="IQ_EST_EBIT_SURPRISE_PERCENT_REUT" hidden="1">"c5414"</definedName>
    <definedName name="IQ_EST_EBITDA_DIFF" hidden="1">"c1867"</definedName>
    <definedName name="IQ_EST_EBITDA_DIFF_REUT" hidden="1">"c3888"</definedName>
    <definedName name="IQ_EST_EBITDA_GROWTH_1YR" hidden="1">"c1766"</definedName>
    <definedName name="IQ_EST_EBITDA_GROWTH_1YR_REUT" hidden="1">"c3864"</definedName>
    <definedName name="IQ_EST_EBITDA_GROWTH_2YR" hidden="1">"c1767"</definedName>
    <definedName name="IQ_EST_EBITDA_GROWTH_2YR_REUT" hidden="1">"c3865"</definedName>
    <definedName name="IQ_EST_EBITDA_GROWTH_Q_1YR" hidden="1">"c1768"</definedName>
    <definedName name="IQ_EST_EBITDA_GROWTH_Q_1YR_REUT" hidden="1">"c3866"</definedName>
    <definedName name="IQ_EST_EBITDA_SBC_DIFF" hidden="1">"c4335"</definedName>
    <definedName name="IQ_EST_EBITDA_SBC_SURPRISE_PERCENT" hidden="1">"c4344"</definedName>
    <definedName name="IQ_EST_EBITDA_SEQ_GROWTH_Q" hidden="1">"c1769"</definedName>
    <definedName name="IQ_EST_EBITDA_SEQ_GROWTH_Q_REUT" hidden="1">"c3867"</definedName>
    <definedName name="IQ_EST_EBITDA_SURPRISE_PERCENT" hidden="1">"c1868"</definedName>
    <definedName name="IQ_EST_EBITDA_SURPRISE_PERCENT_REUT" hidden="1">"c3889"</definedName>
    <definedName name="IQ_EST_EBT_SBC_DIFF" hidden="1">"c4348"</definedName>
    <definedName name="IQ_EST_EBT_SBC_GW_DIFF" hidden="1">"c4352"</definedName>
    <definedName name="IQ_EST_EBT_SBC_GW_SURPRISE_PERCENT" hidden="1">"c4361"</definedName>
    <definedName name="IQ_EST_EBT_SBC_SURPRISE_PERCENT" hidden="1">"c4367"</definedName>
    <definedName name="IQ_EST_EPS_DIFF" hidden="1">"c1864"</definedName>
    <definedName name="IQ_EST_EPS_DIFF_REUT" hidden="1">"c5458"</definedName>
    <definedName name="IQ_EST_EPS_GROWTH_1YR" hidden="1">"c1636"</definedName>
    <definedName name="IQ_EST_EPS_GROWTH_1YR_REUT" hidden="1">"c3646"</definedName>
    <definedName name="IQ_EST_EPS_GROWTH_2YR" hidden="1">"c1637"</definedName>
    <definedName name="IQ_EST_EPS_GROWTH_2YR_REUT" hidden="1">"c3858"</definedName>
    <definedName name="IQ_EST_EPS_GROWTH_5YR" hidden="1">"c1655"</definedName>
    <definedName name="IQ_EST_EPS_GROWTH_5YR_BOTTOM_UP" hidden="1">"c5487"</definedName>
    <definedName name="IQ_EST_EPS_GROWTH_5YR_BOTTOM_UP_REUT" hidden="1">"c5495"</definedName>
    <definedName name="IQ_EST_EPS_GROWTH_5YR_HIGH" hidden="1">"c1657"</definedName>
    <definedName name="IQ_EST_EPS_GROWTH_5YR_HIGH_REUT" hidden="1">"c5322"</definedName>
    <definedName name="IQ_EST_EPS_GROWTH_5YR_LOW" hidden="1">"c1658"</definedName>
    <definedName name="IQ_EST_EPS_GROWTH_5YR_LOW_REUT" hidden="1">"c5323"</definedName>
    <definedName name="IQ_EST_EPS_GROWTH_5YR_MEDIAN" hidden="1">"c1656"</definedName>
    <definedName name="IQ_EST_EPS_GROWTH_5YR_MEDIAN_REUT" hidden="1">"c5321"</definedName>
    <definedName name="IQ_EST_EPS_GROWTH_5YR_NUM" hidden="1">"c1659"</definedName>
    <definedName name="IQ_EST_EPS_GROWTH_5YR_NUM_REUT" hidden="1">"c5324"</definedName>
    <definedName name="IQ_EST_EPS_GROWTH_5YR_REUT" hidden="1">"c3633"</definedName>
    <definedName name="IQ_EST_EPS_GROWTH_5YR_STDDEV" hidden="1">"c1660"</definedName>
    <definedName name="IQ_EST_EPS_GROWTH_5YR_STDDEV_REUT" hidden="1">"c5325"</definedName>
    <definedName name="IQ_EST_EPS_GROWTH_Q_1YR" hidden="1">"c1641"</definedName>
    <definedName name="IQ_EST_EPS_GROWTH_Q_1YR_REUT" hidden="1">"c5410"</definedName>
    <definedName name="IQ_EST_EPS_GW_DIFF" hidden="1">"c1891"</definedName>
    <definedName name="IQ_EST_EPS_GW_DIFF_REUT" hidden="1">"c5429"</definedName>
    <definedName name="IQ_EST_EPS_GW_SURPRISE_PERCENT" hidden="1">"c1892"</definedName>
    <definedName name="IQ_EST_EPS_GW_SURPRISE_PERCENT_REUT" hidden="1">"c5430"</definedName>
    <definedName name="IQ_EST_EPS_NORM_DIFF" hidden="1">"c2247"</definedName>
    <definedName name="IQ_EST_EPS_NORM_DIFF_REUT" hidden="1">"c5411"</definedName>
    <definedName name="IQ_EST_EPS_NORM_SURPRISE_PERCENT" hidden="1">"c2248"</definedName>
    <definedName name="IQ_EST_EPS_NORM_SURPRISE_PERCENT_REUT" hidden="1">"c5412"</definedName>
    <definedName name="IQ_EST_EPS_REPORT_DIFF" hidden="1">"c1893"</definedName>
    <definedName name="IQ_EST_EPS_REPORT_DIFF_REUT" hidden="1">"c5431"</definedName>
    <definedName name="IQ_EST_EPS_REPORT_SURPRISE_PERCENT" hidden="1">"c1894"</definedName>
    <definedName name="IQ_EST_EPS_REPORT_SURPRISE_PERCENT_REUT" hidden="1">"c5432"</definedName>
    <definedName name="IQ_EST_EPS_SBC_DIFF" hidden="1">"c4374"</definedName>
    <definedName name="IQ_EST_EPS_SBC_GW_DIFF" hidden="1">"c4378"</definedName>
    <definedName name="IQ_EST_EPS_SBC_GW_SURPRISE_PERCENT" hidden="1">"c4387"</definedName>
    <definedName name="IQ_EST_EPS_SBC_SURPRISE_PERCENT" hidden="1">"c4393"</definedName>
    <definedName name="IQ_EST_EPS_SEQ_GROWTH_Q" hidden="1">"c1764"</definedName>
    <definedName name="IQ_EST_EPS_SEQ_GROWTH_Q_REUT" hidden="1">"c3859"</definedName>
    <definedName name="IQ_EST_EPS_SURPRISE_PERCENT" hidden="1">"c1635"</definedName>
    <definedName name="IQ_EST_EPS_SURPRISE_PERCENT_REUT" hidden="1">"c5459"</definedName>
    <definedName name="IQ_EST_FFO_ADJ_DIFF" hidden="1">"c4433"</definedName>
    <definedName name="IQ_EST_FFO_ADJ_GROWTH_1YR" hidden="1">"c4421"</definedName>
    <definedName name="IQ_EST_FFO_ADJ_GROWTH_2YR" hidden="1">"c4422"</definedName>
    <definedName name="IQ_EST_FFO_ADJ_GROWTH_Q_1YR" hidden="1">"c4423"</definedName>
    <definedName name="IQ_EST_FFO_ADJ_SEQ_GROWTH_Q" hidden="1">"c4424"</definedName>
    <definedName name="IQ_EST_FFO_ADJ_SURPRISE_PERCENT" hidden="1">"c4442"</definedName>
    <definedName name="IQ_EST_FFO_DIFF" hidden="1">"c1869"</definedName>
    <definedName name="IQ_EST_FFO_DIFF_REUT" hidden="1">"c3890"</definedName>
    <definedName name="IQ_EST_FFO_GROWTH_1YR" hidden="1">"c1770"</definedName>
    <definedName name="IQ_EST_FFO_GROWTH_1YR_REUT" hidden="1">"c3874"</definedName>
    <definedName name="IQ_EST_FFO_GROWTH_2YR" hidden="1">"c1771"</definedName>
    <definedName name="IQ_EST_FFO_GROWTH_2YR_REUT" hidden="1">"c3875"</definedName>
    <definedName name="IQ_EST_FFO_GROWTH_Q_1YR" hidden="1">"c1772"</definedName>
    <definedName name="IQ_EST_FFO_GROWTH_Q_1YR_REUT" hidden="1">"c3876"</definedName>
    <definedName name="IQ_EST_FFO_SEQ_GROWTH_Q" hidden="1">"c1773"</definedName>
    <definedName name="IQ_EST_FFO_SEQ_GROWTH_Q_REUT" hidden="1">"c3877"</definedName>
    <definedName name="IQ_EST_FFO_SHARE_DIFF" hidden="1">"c4444"</definedName>
    <definedName name="IQ_EST_FFO_SHARE_GROWTH_1YR" hidden="1">"c4425"</definedName>
    <definedName name="IQ_EST_FFO_SHARE_GROWTH_2YR" hidden="1">"c4426"</definedName>
    <definedName name="IQ_EST_FFO_SHARE_GROWTH_Q_1YR" hidden="1">"c4427"</definedName>
    <definedName name="IQ_EST_FFO_SHARE_SEQ_GROWTH_Q" hidden="1">"c4428"</definedName>
    <definedName name="IQ_EST_FFO_SHARE_SURPRISE_PERCENT" hidden="1">"c4453"</definedName>
    <definedName name="IQ_EST_FFO_SURPRISE_PERCENT" hidden="1">"c1870"</definedName>
    <definedName name="IQ_EST_FFO_SURPRISE_PERCENT_REUT" hidden="1">"c3891"</definedName>
    <definedName name="IQ_EST_FOOTNOTE" hidden="1">"c4540"</definedName>
    <definedName name="IQ_EST_FOOTNOTE_REUT" hidden="1">"c5478"</definedName>
    <definedName name="IQ_EST_MAINT_CAPEX_DIFF" hidden="1">"c4456"</definedName>
    <definedName name="IQ_EST_MAINT_CAPEX_GROWTH_1YR" hidden="1">"c4429"</definedName>
    <definedName name="IQ_EST_MAINT_CAPEX_GROWTH_2YR" hidden="1">"c4430"</definedName>
    <definedName name="IQ_EST_MAINT_CAPEX_GROWTH_Q_1YR" hidden="1">"c4431"</definedName>
    <definedName name="IQ_EST_MAINT_CAPEX_SEQ_GROWTH_Q" hidden="1">"c4432"</definedName>
    <definedName name="IQ_EST_MAINT_CAPEX_SURPRISE_PERCENT" hidden="1">"c4465"</definedName>
    <definedName name="IQ_EST_NAV_DIFF" hidden="1">"c1895"</definedName>
    <definedName name="IQ_EST_NAV_SURPRISE_PERCENT" hidden="1">"c1896"</definedName>
    <definedName name="IQ_EST_NET_DEBT_DIFF" hidden="1">"c4466"</definedName>
    <definedName name="IQ_EST_NET_DEBT_SURPRISE_PERCENT" hidden="1">"c4468"</definedName>
    <definedName name="IQ_EST_NI_DIFF" hidden="1">"c1885"</definedName>
    <definedName name="IQ_EST_NI_DIFF_REUT" hidden="1">"c5423"</definedName>
    <definedName name="IQ_EST_NI_GW_DIFF" hidden="1">"c1887"</definedName>
    <definedName name="IQ_EST_NI_GW_DIFF_REUT" hidden="1">"c5425"</definedName>
    <definedName name="IQ_EST_NI_GW_SURPRISE_PERCENT" hidden="1">"c1888"</definedName>
    <definedName name="IQ_EST_NI_GW_SURPRISE_PERCENT_REUT" hidden="1">"c5426"</definedName>
    <definedName name="IQ_EST_NI_REPORT_DIFF" hidden="1">"c1889"</definedName>
    <definedName name="IQ_EST_NI_REPORT_DIFF_REUT" hidden="1">"c5427"</definedName>
    <definedName name="IQ_EST_NI_REPORT_SURPRISE_PERCENT" hidden="1">"c1890"</definedName>
    <definedName name="IQ_EST_NI_REPORT_SURPRISE_PERCENT_REUT" hidden="1">"c5428"</definedName>
    <definedName name="IQ_EST_NI_SBC_DIFF" hidden="1">"c4472"</definedName>
    <definedName name="IQ_EST_NI_SBC_GW_DIFF" hidden="1">"c4476"</definedName>
    <definedName name="IQ_EST_NI_SBC_GW_SURPRISE_PERCENT" hidden="1">"c4485"</definedName>
    <definedName name="IQ_EST_NI_SBC_SURPRISE_PERCENT" hidden="1">"c4491"</definedName>
    <definedName name="IQ_EST_NI_SURPRISE_PERCENT" hidden="1">"c1886"</definedName>
    <definedName name="IQ_EST_NI_SURPRISE_PERCENT_REUT" hidden="1">"c5424"</definedName>
    <definedName name="IQ_EST_NUM_BUY" hidden="1">"c1759"</definedName>
    <definedName name="IQ_EST_NUM_BUY_REUT" hidden="1">"c3869"</definedName>
    <definedName name="IQ_EST_NUM_HOLD" hidden="1">"c1761"</definedName>
    <definedName name="IQ_EST_NUM_HOLD_REUT" hidden="1">"c3871"</definedName>
    <definedName name="IQ_EST_NUM_NO_OPINION" hidden="1">"c1758"</definedName>
    <definedName name="IQ_EST_NUM_NO_OPINION_REUT" hidden="1">"c3868"</definedName>
    <definedName name="IQ_EST_NUM_OUTPERFORM" hidden="1">"c1760"</definedName>
    <definedName name="IQ_EST_NUM_OUTPERFORM_REUT" hidden="1">"c3870"</definedName>
    <definedName name="IQ_EST_NUM_SELL" hidden="1">"c1763"</definedName>
    <definedName name="IQ_EST_NUM_SELL_REUT" hidden="1">"c3873"</definedName>
    <definedName name="IQ_EST_NUM_UNDERPERFORM" hidden="1">"c1762"</definedName>
    <definedName name="IQ_EST_NUM_UNDERPERFORM_REUT" hidden="1">"c3872"</definedName>
    <definedName name="IQ_EST_OPER_INC_DIFF" hidden="1">"c1877"</definedName>
    <definedName name="IQ_EST_OPER_INC_DIFF_REUT" hidden="1">"c5415"</definedName>
    <definedName name="IQ_EST_OPER_INC_SURPRISE_PERCENT" hidden="1">"c1878"</definedName>
    <definedName name="IQ_EST_OPER_INC_SURPRISE_PERCENT_REUT" hidden="1">"c5416"</definedName>
    <definedName name="IQ_EST_PRE_TAX_DIFF" hidden="1">"c1879"</definedName>
    <definedName name="IQ_EST_PRE_TAX_DIFF_REUT" hidden="1">"c5417"</definedName>
    <definedName name="IQ_EST_PRE_TAX_GW_DIFF" hidden="1">"c1881"</definedName>
    <definedName name="IQ_EST_PRE_TAX_GW_DIFF_REUT" hidden="1">"c5419"</definedName>
    <definedName name="IQ_EST_PRE_TAX_GW_SURPRISE_PERCENT" hidden="1">"c1882"</definedName>
    <definedName name="IQ_EST_PRE_TAX_GW_SURPRISE_PERCENT_REUT" hidden="1">"c5420"</definedName>
    <definedName name="IQ_EST_PRE_TAX_REPORT_DIFF" hidden="1">"c1883"</definedName>
    <definedName name="IQ_EST_PRE_TAX_REPORT_DIFF_REUT" hidden="1">"c5421"</definedName>
    <definedName name="IQ_EST_PRE_TAX_REPORT_SURPRISE_PERCENT" hidden="1">"c1884"</definedName>
    <definedName name="IQ_EST_PRE_TAX_REPORT_SURPRISE_PERCENT_REUT" hidden="1">"c5422"</definedName>
    <definedName name="IQ_EST_PRE_TAX_SURPRISE_PERCENT" hidden="1">"c1880"</definedName>
    <definedName name="IQ_EST_PRE_TAX_SURPRISE_PERCENT_REUT" hidden="1">"c5418"</definedName>
    <definedName name="IQ_EST_RECURRING_PROFIT_SHARE_DIFF" hidden="1">"c4505"</definedName>
    <definedName name="IQ_EST_RECURRING_PROFIT_SHARE_SURPRISE_PERCENT" hidden="1">"c4515"</definedName>
    <definedName name="IQ_EST_REV_DIFF" hidden="1">"c1865"</definedName>
    <definedName name="IQ_EST_REV_DIFF_REUT" hidden="1">"c3886"</definedName>
    <definedName name="IQ_EST_REV_GROWTH_1YR" hidden="1">"c1638"</definedName>
    <definedName name="IQ_EST_REV_GROWTH_1YR_REUT" hidden="1">"c3860"</definedName>
    <definedName name="IQ_EST_REV_GROWTH_2YR" hidden="1">"c1639"</definedName>
    <definedName name="IQ_EST_REV_GROWTH_2YR_REUT" hidden="1">"c3861"</definedName>
    <definedName name="IQ_EST_REV_GROWTH_Q_1YR" hidden="1">"c1640"</definedName>
    <definedName name="IQ_EST_REV_GROWTH_Q_1YR_REUT" hidden="1">"c3862"</definedName>
    <definedName name="IQ_EST_REV_SEQ_GROWTH_Q" hidden="1">"c1765"</definedName>
    <definedName name="IQ_EST_REV_SEQ_GROWTH_Q_REUT" hidden="1">"c3863"</definedName>
    <definedName name="IQ_EST_REV_SURPRISE_PERCENT" hidden="1">"c1866"</definedName>
    <definedName name="IQ_EST_REV_SURPRISE_PERCENT_REUT" hidden="1">"c3887"</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ACT_OR_EST" hidden="1">"c2216"</definedName>
    <definedName name="IQ_FFO_ADJ_ACT_OR_EST" hidden="1">"c4435"</definedName>
    <definedName name="IQ_FFO_ADJ_EST" hidden="1">"c4434"</definedName>
    <definedName name="IQ_FFO_ADJ_GUIDANCE" hidden="1">"c4436"</definedName>
    <definedName name="IQ_FFO_ADJ_HIGH_EST" hidden="1">"c4437"</definedName>
    <definedName name="IQ_FFO_ADJ_HIGH_GUIDANCE" hidden="1">"c4202"</definedName>
    <definedName name="IQ_FFO_ADJ_LOW_EST" hidden="1">"c4438"</definedName>
    <definedName name="IQ_FFO_ADJ_LOW_GUIDANCE" hidden="1">"c4242"</definedName>
    <definedName name="IQ_FFO_ADJ_MEDIAN_EST" hidden="1">"c4439"</definedName>
    <definedName name="IQ_FFO_ADJ_NUM_EST" hidden="1">"c4440"</definedName>
    <definedName name="IQ_FFO_ADJ_STDDEV_EST" hidden="1">"c4441"</definedName>
    <definedName name="IQ_FFO_EST" hidden="1">"c418"</definedName>
    <definedName name="IQ_FFO_EST_REUT" hidden="1">"c3837"</definedName>
    <definedName name="IQ_FFO_GUIDANCE" hidden="1">"c4443"</definedName>
    <definedName name="IQ_FFO_HIGH_EST" hidden="1">"c419"</definedName>
    <definedName name="IQ_FFO_HIGH_EST_REUT" hidden="1">"c3839"</definedName>
    <definedName name="IQ_FFO_HIGH_GUIDANCE" hidden="1">"c4184"</definedName>
    <definedName name="IQ_FFO_LOW_EST" hidden="1">"c420"</definedName>
    <definedName name="IQ_FFO_LOW_EST_REUT" hidden="1">"c3840"</definedName>
    <definedName name="IQ_FFO_LOW_GUIDANCE" hidden="1">"c4224"</definedName>
    <definedName name="IQ_FFO_MEDIAN_EST" hidden="1">"c1665"</definedName>
    <definedName name="IQ_FFO_MEDIAN_EST_REUT" hidden="1">"c3838"</definedName>
    <definedName name="IQ_FFO_NUM_EST" hidden="1">"c421"</definedName>
    <definedName name="IQ_FFO_NUM_EST_REUT" hidden="1">"c3841"</definedName>
    <definedName name="IQ_FFO_PAYOUT_RATIO" hidden="1">"c3492"</definedName>
    <definedName name="IQ_FFO_SHARE_ACT_OR_EST" hidden="1">"c4446"</definedName>
    <definedName name="IQ_FFO_SHARE_EST" hidden="1">"c4445"</definedName>
    <definedName name="IQ_FFO_SHARE_GUIDANCE" hidden="1">"c4447"</definedName>
    <definedName name="IQ_FFO_SHARE_HIGH_EST" hidden="1">"c4448"</definedName>
    <definedName name="IQ_FFO_SHARE_HIGH_GUIDANCE" hidden="1">"c4203"</definedName>
    <definedName name="IQ_FFO_SHARE_LOW_EST" hidden="1">"c4449"</definedName>
    <definedName name="IQ_FFO_SHARE_LOW_GUIDANCE" hidden="1">"c4243"</definedName>
    <definedName name="IQ_FFO_SHARE_MEDIAN_EST" hidden="1">"c4450"</definedName>
    <definedName name="IQ_FFO_SHARE_NUM_EST" hidden="1">"c4451"</definedName>
    <definedName name="IQ_FFO_SHARE_STDDEV_EST" hidden="1">"c4452"</definedName>
    <definedName name="IQ_FFO_STDDEV_EST" hidden="1">"c422"</definedName>
    <definedName name="IQ_FFO_STDDEV_EST_REUT" hidden="1">"c3842"</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DEBT_TOTAL" hidden="1">"c5656"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NOTES_PAY_TOTAL" hidden="1">"c5522"</definedName>
    <definedName name="IQ_FIN_DIV_REV" hidden="1">"c437"</definedName>
    <definedName name="IQ_FIN_DIV_ST_DEBT_TOTAL" hidden="1">"c5527"</definedName>
    <definedName name="IQ_FINANCING_CASH" hidden="1">"c1405"</definedName>
    <definedName name="IQ_FINANCING_CASH_SUPPL" hidden="1">"c1406"</definedName>
    <definedName name="IQ_FINANCING_OBLIG_CURRENT" hidden="1">"c6190"</definedName>
    <definedName name="IQ_FINANCING_OBLIG_NON_CURRENT" hidden="1">"c6191"</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OODWILL_NET" hidden="1">"c1380"</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MARGIN" hidden="1">"c529"</definedName>
    <definedName name="IQ_GROSS_MARGIN_ACT_OR_EST" hidden="1">"c5554"</definedName>
    <definedName name="IQ_GROSS_MARGIN_EST" hidden="1">"c5547"</definedName>
    <definedName name="IQ_GROSS_MARGIN_HIGH_EST" hidden="1">"c5549"</definedName>
    <definedName name="IQ_GROSS_MARGIN_LOW_EST" hidden="1">"c5550"</definedName>
    <definedName name="IQ_GROSS_MARGIN_MEDIAN_EST" hidden="1">"c5548"</definedName>
    <definedName name="IQ_GROSS_MARGIN_NUM_EST" hidden="1">"c5551"</definedName>
    <definedName name="IQ_GROSS_MARGIN_STDDEV_EST" hidden="1">"c5552"</definedName>
    <definedName name="IQ_GROSS_PC_EARNED" hidden="1">"c2747"</definedName>
    <definedName name="IQ_GROSS_PROFIT" hidden="1">"c1378"</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DAYS_REV_OUT" hidden="1">"c5993"</definedName>
    <definedName name="IQ_HC_EQUIV_ADMISSIONS_GROWTH" hidden="1">"c5998"</definedName>
    <definedName name="IQ_HC_EQUIVALENT_ADMISSIONS" hidden="1">"c5958"</definedName>
    <definedName name="IQ_HC_EQUIVALENT_ADMISSIONS_SF" hidden="1">"c6007"</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SALARIES_PCT_REV" hidden="1">"c5970"</definedName>
    <definedName name="IQ_HC_SUPPLIES_PCT_REV" hidden="1">"c5971"</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IGH_TARGET_PRICE" hidden="1">"c1651"</definedName>
    <definedName name="IQ_HIGH_TARGET_PRICE_REUT" hidden="1">"c5317"</definedName>
    <definedName name="IQ_HIGHPRICE" hidden="1">"c545"</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 hidden="1">"c6225"</definedName>
    <definedName name="IQ_INT_INC_REIT" hidden="1">"c597"</definedName>
    <definedName name="IQ_INT_INC_TOTAL" hidden="1">"c598"</definedName>
    <definedName name="IQ_INT_INC_UTI" hidden="1">"c599"</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PRD" hidden="1">"c644"</definedName>
    <definedName name="IQ_ISS_DEBT_NET" hidden="1">"c1391"</definedName>
    <definedName name="IQ_ISS_STOCK_NET" hidden="1">"c1601"</definedName>
    <definedName name="IQ_ISSUE_CURRENCY" hidden="1">"c2156"</definedName>
    <definedName name="IQ_ISSUE_NAME" hidden="1">"c2142"</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ACHINERY" hidden="1">"c711"</definedName>
    <definedName name="IQ_MAINT_CAPEX" hidden="1">"c2947"</definedName>
    <definedName name="IQ_MAINT_CAPEX_ACT_OR_EST" hidden="1">"c4458"</definedName>
    <definedName name="IQ_MAINT_CAPEX_EST" hidden="1">"c4457"</definedName>
    <definedName name="IQ_MAINT_CAPEX_GUIDANCE" hidden="1">"c4459"</definedName>
    <definedName name="IQ_MAINT_CAPEX_HIGH_EST" hidden="1">"c4460"</definedName>
    <definedName name="IQ_MAINT_CAPEX_HIGH_GUIDANCE" hidden="1">"c4197"</definedName>
    <definedName name="IQ_MAINT_CAPEX_LOW_EST" hidden="1">"c4461"</definedName>
    <definedName name="IQ_MAINT_CAPEX_LOW_GUIDANCE" hidden="1">"c4237"</definedName>
    <definedName name="IQ_MAINT_CAPEX_MEDIAN_EST" hidden="1">"c4462"</definedName>
    <definedName name="IQ_MAINT_CAPEX_NUM_EST" hidden="1">"c4463"</definedName>
    <definedName name="IQ_MAINT_CAPEX_STDDEV_EST" hidden="1">"c4464"</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C_RATIO" hidden="1">"c2783"</definedName>
    <definedName name="IQ_MC_STATUTORY_SURPLUS" hidden="1">"c2772"</definedName>
    <definedName name="IQ_MEDIAN_TARGET_PRICE" hidden="1">"c1650"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AMES_REVISION_DATE_" hidden="1">39965.6378009259</definedName>
    <definedName name="IQ_NAV_ACT_OR_EST" hidden="1">"c2225"</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TDDEV_EST" hidden="1">"c1756"</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REUT" hidden="1">"c5473"</definedName>
    <definedName name="IQ_NET_DEBT_EBITDA" hidden="1">"c750"</definedName>
    <definedName name="IQ_NET_DEBT_EBITDA_CAPEX" hidden="1">"c2949"</definedName>
    <definedName name="IQ_NET_DEBT_EST" hidden="1">"c3517"</definedName>
    <definedName name="IQ_NET_DEBT_EST_REUT" hidden="1">"c3976"</definedName>
    <definedName name="IQ_NET_DEBT_GUIDANCE" hidden="1">"c4467"</definedName>
    <definedName name="IQ_NET_DEBT_HIGH_EST" hidden="1">"c3518"</definedName>
    <definedName name="IQ_NET_DEBT_HIGH_EST_REUT" hidden="1">"c3978"</definedName>
    <definedName name="IQ_NET_DEBT_HIGH_GUIDANCE" hidden="1">"c4181"</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LOW_EST_REUT" hidden="1">"c3979"</definedName>
    <definedName name="IQ_NET_DEBT_LOW_GUIDANCE" hidden="1">"c4221"</definedName>
    <definedName name="IQ_NET_DEBT_MEDIAN_EST" hidden="1">"c3520"</definedName>
    <definedName name="IQ_NET_DEBT_MEDIAN_EST_REUT" hidden="1">"c3977"</definedName>
    <definedName name="IQ_NET_DEBT_NUM_EST" hidden="1">"c3515"</definedName>
    <definedName name="IQ_NET_DEBT_NUM_EST_REUT" hidden="1">"c3980"</definedName>
    <definedName name="IQ_NET_DEBT_STDDEV_EST" hidden="1">"c3516"</definedName>
    <definedName name="IQ_NET_DEBT_STDDEV_EST_REUT" hidden="1">"c3981"</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CT_OR_EST_REUT" hidden="1">"c5468"</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EST_REUT" hidden="1">"c5368"</definedName>
    <definedName name="IQ_NI_GAAP_GUIDANCE" hidden="1">"c4470"</definedName>
    <definedName name="IQ_NI_GAAP_HIGH_GUIDANCE" hidden="1">"c4177"</definedName>
    <definedName name="IQ_NI_GAAP_LOW_GUIDANCE" hidden="1">"c4217"</definedName>
    <definedName name="IQ_NI_GUIDANCE" hidden="1">"c4469"</definedName>
    <definedName name="IQ_NI_GW_EST" hidden="1">"c1723"</definedName>
    <definedName name="IQ_NI_GW_EST_REUT" hidden="1">"c5375"</definedName>
    <definedName name="IQ_NI_GW_GUIDANCE" hidden="1">"c4471"</definedName>
    <definedName name="IQ_NI_GW_HIGH_EST" hidden="1">"c1725"</definedName>
    <definedName name="IQ_NI_GW_HIGH_EST_REUT" hidden="1">"c5377"</definedName>
    <definedName name="IQ_NI_GW_HIGH_GUIDANCE" hidden="1">"c4178"</definedName>
    <definedName name="IQ_NI_GW_LOW_EST" hidden="1">"c1726"</definedName>
    <definedName name="IQ_NI_GW_LOW_EST_REUT" hidden="1">"c5378"</definedName>
    <definedName name="IQ_NI_GW_LOW_GUIDANCE" hidden="1">"c4218"</definedName>
    <definedName name="IQ_NI_GW_MEDIAN_EST" hidden="1">"c1724"</definedName>
    <definedName name="IQ_NI_GW_MEDIAN_EST_REUT" hidden="1">"c5376"</definedName>
    <definedName name="IQ_NI_GW_NUM_EST" hidden="1">"c1727"</definedName>
    <definedName name="IQ_NI_GW_NUM_EST_REUT" hidden="1">"c5379"</definedName>
    <definedName name="IQ_NI_GW_STDDEV_EST" hidden="1">"c1728"</definedName>
    <definedName name="IQ_NI_GW_STDDEV_EST_REUT" hidden="1">"c5380"</definedName>
    <definedName name="IQ_NI_HIGH_EST" hidden="1">"c1718"</definedName>
    <definedName name="IQ_NI_HIGH_EST_REUT" hidden="1">"c5370"</definedName>
    <definedName name="IQ_NI_HIGH_GUIDANCE" hidden="1">"c4176"</definedName>
    <definedName name="IQ_NI_LOW_EST" hidden="1">"c1719"</definedName>
    <definedName name="IQ_NI_LOW_EST_REUT" hidden="1">"c5371"</definedName>
    <definedName name="IQ_NI_LOW_GUIDANCE" hidden="1">"c4216"</definedName>
    <definedName name="IQ_NI_MARGIN" hidden="1">"c794"</definedName>
    <definedName name="IQ_NI_MEDIAN_EST" hidden="1">"c1717"</definedName>
    <definedName name="IQ_NI_MEDIAN_EST_REUT" hidden="1">"c5369"</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NUM_EST_REUT" hidden="1">"c5372"</definedName>
    <definedName name="IQ_NI_REPORTED_EST" hidden="1">"c1730"</definedName>
    <definedName name="IQ_NI_REPORTED_EST_REUT" hidden="1">"c5382"</definedName>
    <definedName name="IQ_NI_REPORTED_HIGH_EST" hidden="1">"c1732"</definedName>
    <definedName name="IQ_NI_REPORTED_HIGH_EST_REUT" hidden="1">"c5384"</definedName>
    <definedName name="IQ_NI_REPORTED_LOW_EST" hidden="1">"c1733"</definedName>
    <definedName name="IQ_NI_REPORTED_LOW_EST_REUT" hidden="1">"c5385"</definedName>
    <definedName name="IQ_NI_REPORTED_MEDIAN_EST" hidden="1">"c1731"</definedName>
    <definedName name="IQ_NI_REPORTED_MEDIAN_EST_REUT" hidden="1">"c5383"</definedName>
    <definedName name="IQ_NI_REPORTED_NUM_EST" hidden="1">"c1734"</definedName>
    <definedName name="IQ_NI_REPORTED_NUM_EST_REUT" hidden="1">"c5386"</definedName>
    <definedName name="IQ_NI_REPORTED_STDDEV_EST" hidden="1">"c1735"</definedName>
    <definedName name="IQ_NI_REPORTED_STDDEV_EST_REUT" hidden="1">"c5387"</definedName>
    <definedName name="IQ_NI_SBC_ACT_OR_EST" hidden="1">"c4474"</definedName>
    <definedName name="IQ_NI_SBC_EST" hidden="1">"c4473"</definedName>
    <definedName name="IQ_NI_SBC_GUIDANCE" hidden="1">"c4475"</definedName>
    <definedName name="IQ_NI_SBC_GW_ACT_OR_EST" hidden="1">"c4478"</definedName>
    <definedName name="IQ_NI_SBC_GW_EST" hidden="1">"c4477"</definedName>
    <definedName name="IQ_NI_SBC_GW_GUIDANCE" hidden="1">"c4479"</definedName>
    <definedName name="IQ_NI_SBC_GW_HIGH_EST" hidden="1">"c4480"</definedName>
    <definedName name="IQ_NI_SBC_GW_HIGH_GUIDANCE" hidden="1">"c4187"</definedName>
    <definedName name="IQ_NI_SBC_GW_LOW_EST" hidden="1">"c4481"</definedName>
    <definedName name="IQ_NI_SBC_GW_LOW_GUIDANCE" hidden="1">"c4227"</definedName>
    <definedName name="IQ_NI_SBC_GW_MEDIAN_EST" hidden="1">"c4482"</definedName>
    <definedName name="IQ_NI_SBC_GW_NUM_EST" hidden="1">"c4483"</definedName>
    <definedName name="IQ_NI_SBC_GW_STDDEV_EST" hidden="1">"c4484"</definedName>
    <definedName name="IQ_NI_SBC_HIGH_EST" hidden="1">"c4486"</definedName>
    <definedName name="IQ_NI_SBC_HIGH_GUIDANCE" hidden="1">"c4186"</definedName>
    <definedName name="IQ_NI_SBC_LOW_EST" hidden="1">"c4487"</definedName>
    <definedName name="IQ_NI_SBC_LOW_GUIDANCE" hidden="1">"c4226"</definedName>
    <definedName name="IQ_NI_SBC_MEDIAN_EST" hidden="1">"c4488"</definedName>
    <definedName name="IQ_NI_SBC_NUM_EST" hidden="1">"c4489"</definedName>
    <definedName name="IQ_NI_SBC_STDDEV_EST" hidden="1">"c4490"</definedName>
    <definedName name="IQ_NI_SFAS" hidden="1">"c795"</definedName>
    <definedName name="IQ_NI_STDDEV_EST" hidden="1">"c1721"</definedName>
    <definedName name="IQ_NI_STDDEV_EST_REUT" hidden="1">"c5373"</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_EPS_ACT_OR_EST" hidden="1">"c2249"</definedName>
    <definedName name="IQ_NORM_EPS_ACT_OR_EST_REUT" hidden="1">"c5472"</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AVG_DAILY_SALES_VOL_EQ_INC_GAS" hidden="1">"c5797"</definedName>
    <definedName name="IQ_OG_AVG_DAILY_SALES_VOL_EQ_INC_NGL" hidden="1">"c5798"</definedName>
    <definedName name="IQ_OG_AVG_DAILY_SALES_VOL_EQ_INC_OIL" hidden="1">"c5796"</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ACRE_GROSS_EQ_INC" hidden="1">"c5800"</definedName>
    <definedName name="IQ_OG_UNDEVELOPED_ACRE_NET_EQ_INC" hidden="1">"c5801"</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ACT_OR_EST" hidden="1">"c2220"</definedName>
    <definedName name="IQ_OPER_INC_ACT_OR_EST_REUT" hidden="1">"c5466"</definedName>
    <definedName name="IQ_OPER_INC_BR" hidden="1">"c850"</definedName>
    <definedName name="IQ_OPER_INC_EST" hidden="1">"c1688"</definedName>
    <definedName name="IQ_OPER_INC_EST_REUT" hidden="1">"c5340"</definedName>
    <definedName name="IQ_OPER_INC_FIN" hidden="1">"c851"</definedName>
    <definedName name="IQ_OPER_INC_HIGH_EST" hidden="1">"c1690"</definedName>
    <definedName name="IQ_OPER_INC_HIGH_EST_REUT" hidden="1">"c5342"</definedName>
    <definedName name="IQ_OPER_INC_INS" hidden="1">"c852"</definedName>
    <definedName name="IQ_OPER_INC_LOW_EST" hidden="1">"c1691"</definedName>
    <definedName name="IQ_OPER_INC_LOW_EST_REUT" hidden="1">"c5343"</definedName>
    <definedName name="IQ_OPER_INC_MARGIN" hidden="1">"c1448"</definedName>
    <definedName name="IQ_OPER_INC_MEDIAN_EST" hidden="1">"c1689"</definedName>
    <definedName name="IQ_OPER_INC_MEDIAN_EST_REUT" hidden="1">"c5341"</definedName>
    <definedName name="IQ_OPER_INC_NUM_EST" hidden="1">"c1692"</definedName>
    <definedName name="IQ_OPER_INC_NUM_EST_REUT" hidden="1">"c5344"</definedName>
    <definedName name="IQ_OPER_INC_RE" hidden="1">"c6240"</definedName>
    <definedName name="IQ_OPER_INC_REIT" hidden="1">"c853"</definedName>
    <definedName name="IQ_OPER_INC_STDDEV_EST" hidden="1">"c1693"</definedName>
    <definedName name="IQ_OPER_INC_STDDEV_EST_REUT" hidden="1">"c5345"</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WNERSHIP" hidden="1">"c2160"</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NORMALIZED" hidden="1">"c2207"</definedName>
    <definedName name="IQ_PE_RATIO" hidden="1">"c1610"</definedName>
    <definedName name="IQ_PEG_FWD" hidden="1">"c1863"</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2MONTHS_REUT" hidden="1">"c3959"</definedName>
    <definedName name="IQ_PERCENT_CHANGE_EST_5YR_GROWTH_RATE_18MONTHS" hidden="1">"c1853"</definedName>
    <definedName name="IQ_PERCENT_CHANGE_EST_5YR_GROWTH_RATE_18MONTHS_REUT" hidden="1">"c3960"</definedName>
    <definedName name="IQ_PERCENT_CHANGE_EST_5YR_GROWTH_RATE_3MONTHS" hidden="1">"c1849"</definedName>
    <definedName name="IQ_PERCENT_CHANGE_EST_5YR_GROWTH_RATE_3MONTHS_REUT" hidden="1">"c3956"</definedName>
    <definedName name="IQ_PERCENT_CHANGE_EST_5YR_GROWTH_RATE_6MONTHS" hidden="1">"c1850"</definedName>
    <definedName name="IQ_PERCENT_CHANGE_EST_5YR_GROWTH_RATE_6MONTHS_REUT" hidden="1">"c3957"</definedName>
    <definedName name="IQ_PERCENT_CHANGE_EST_5YR_GROWTH_RATE_9MONTHS" hidden="1">"c1851"</definedName>
    <definedName name="IQ_PERCENT_CHANGE_EST_5YR_GROWTH_RATE_9MONTHS_REUT" hidden="1">"c3958"</definedName>
    <definedName name="IQ_PERCENT_CHANGE_EST_5YR_GROWTH_RATE_DAY" hidden="1">"c1846"</definedName>
    <definedName name="IQ_PERCENT_CHANGE_EST_5YR_GROWTH_RATE_DAY_REUT" hidden="1">"c3954"</definedName>
    <definedName name="IQ_PERCENT_CHANGE_EST_5YR_GROWTH_RATE_MONTH" hidden="1">"c1848"</definedName>
    <definedName name="IQ_PERCENT_CHANGE_EST_5YR_GROWTH_RATE_MONTH_REUT" hidden="1">"c3955"</definedName>
    <definedName name="IQ_PERCENT_CHANGE_EST_5YR_GROWTH_RATE_WEEK" hidden="1">"c1847"</definedName>
    <definedName name="IQ_PERCENT_CHANGE_EST_5YR_GROWTH_RATE_WEEK_REUT" hidden="1">"c5435"</definedName>
    <definedName name="IQ_PERCENT_CHANGE_EST_CFPS_12MONTHS" hidden="1">"c1812"</definedName>
    <definedName name="IQ_PERCENT_CHANGE_EST_CFPS_12MONTHS_REUT" hidden="1">"c3924"</definedName>
    <definedName name="IQ_PERCENT_CHANGE_EST_CFPS_18MONTHS" hidden="1">"c1813"</definedName>
    <definedName name="IQ_PERCENT_CHANGE_EST_CFPS_18MONTHS_REUT" hidden="1">"c3925"</definedName>
    <definedName name="IQ_PERCENT_CHANGE_EST_CFPS_3MONTHS" hidden="1">"c1809"</definedName>
    <definedName name="IQ_PERCENT_CHANGE_EST_CFPS_3MONTHS_REUT" hidden="1">"c3921"</definedName>
    <definedName name="IQ_PERCENT_CHANGE_EST_CFPS_6MONTHS" hidden="1">"c1810"</definedName>
    <definedName name="IQ_PERCENT_CHANGE_EST_CFPS_6MONTHS_REUT" hidden="1">"c3922"</definedName>
    <definedName name="IQ_PERCENT_CHANGE_EST_CFPS_9MONTHS" hidden="1">"c1811"</definedName>
    <definedName name="IQ_PERCENT_CHANGE_EST_CFPS_9MONTHS_REUT" hidden="1">"c3923"</definedName>
    <definedName name="IQ_PERCENT_CHANGE_EST_CFPS_DAY" hidden="1">"c1806"</definedName>
    <definedName name="IQ_PERCENT_CHANGE_EST_CFPS_DAY_REUT" hidden="1">"c3919"</definedName>
    <definedName name="IQ_PERCENT_CHANGE_EST_CFPS_MONTH" hidden="1">"c1808"</definedName>
    <definedName name="IQ_PERCENT_CHANGE_EST_CFPS_MONTH_REUT" hidden="1">"c3920"</definedName>
    <definedName name="IQ_PERCENT_CHANGE_EST_CFPS_WEEK" hidden="1">"c1807"</definedName>
    <definedName name="IQ_PERCENT_CHANGE_EST_CFPS_WEEK_REUT" hidden="1">"c3962"</definedName>
    <definedName name="IQ_PERCENT_CHANGE_EST_DPS_12MONTHS" hidden="1">"c1820"</definedName>
    <definedName name="IQ_PERCENT_CHANGE_EST_DPS_12MONTHS_REUT" hidden="1">"c3931"</definedName>
    <definedName name="IQ_PERCENT_CHANGE_EST_DPS_18MONTHS" hidden="1">"c1821"</definedName>
    <definedName name="IQ_PERCENT_CHANGE_EST_DPS_18MONTHS_REUT" hidden="1">"c3932"</definedName>
    <definedName name="IQ_PERCENT_CHANGE_EST_DPS_3MONTHS" hidden="1">"c1817"</definedName>
    <definedName name="IQ_PERCENT_CHANGE_EST_DPS_3MONTHS_REUT" hidden="1">"c3928"</definedName>
    <definedName name="IQ_PERCENT_CHANGE_EST_DPS_6MONTHS" hidden="1">"c1818"</definedName>
    <definedName name="IQ_PERCENT_CHANGE_EST_DPS_6MONTHS_REUT" hidden="1">"c3929"</definedName>
    <definedName name="IQ_PERCENT_CHANGE_EST_DPS_9MONTHS" hidden="1">"c1819"</definedName>
    <definedName name="IQ_PERCENT_CHANGE_EST_DPS_9MONTHS_REUT" hidden="1">"c3930"</definedName>
    <definedName name="IQ_PERCENT_CHANGE_EST_DPS_DAY" hidden="1">"c1814"</definedName>
    <definedName name="IQ_PERCENT_CHANGE_EST_DPS_DAY_REUT" hidden="1">"c3926"</definedName>
    <definedName name="IQ_PERCENT_CHANGE_EST_DPS_MONTH" hidden="1">"c1816"</definedName>
    <definedName name="IQ_PERCENT_CHANGE_EST_DPS_MONTH_REUT" hidden="1">"c3927"</definedName>
    <definedName name="IQ_PERCENT_CHANGE_EST_DPS_WEEK" hidden="1">"c1815"</definedName>
    <definedName name="IQ_PERCENT_CHANGE_EST_DPS_WEEK_REUT" hidden="1">"c3963"</definedName>
    <definedName name="IQ_PERCENT_CHANGE_EST_EBITDA_12MONTHS" hidden="1">"c1804"</definedName>
    <definedName name="IQ_PERCENT_CHANGE_EST_EBITDA_12MONTHS_REUT" hidden="1">"c3917"</definedName>
    <definedName name="IQ_PERCENT_CHANGE_EST_EBITDA_18MONTHS" hidden="1">"c1805"</definedName>
    <definedName name="IQ_PERCENT_CHANGE_EST_EBITDA_18MONTHS_REUT" hidden="1">"c3918"</definedName>
    <definedName name="IQ_PERCENT_CHANGE_EST_EBITDA_3MONTHS" hidden="1">"c1801"</definedName>
    <definedName name="IQ_PERCENT_CHANGE_EST_EBITDA_3MONTHS_REUT" hidden="1">"c3914"</definedName>
    <definedName name="IQ_PERCENT_CHANGE_EST_EBITDA_6MONTHS" hidden="1">"c1802"</definedName>
    <definedName name="IQ_PERCENT_CHANGE_EST_EBITDA_6MONTHS_REUT" hidden="1">"c3915"</definedName>
    <definedName name="IQ_PERCENT_CHANGE_EST_EBITDA_9MONTHS" hidden="1">"c1803"</definedName>
    <definedName name="IQ_PERCENT_CHANGE_EST_EBITDA_9MONTHS_REUT" hidden="1">"c3916"</definedName>
    <definedName name="IQ_PERCENT_CHANGE_EST_EBITDA_DAY" hidden="1">"c1798"</definedName>
    <definedName name="IQ_PERCENT_CHANGE_EST_EBITDA_DAY_REUT" hidden="1">"c3912"</definedName>
    <definedName name="IQ_PERCENT_CHANGE_EST_EBITDA_MONTH" hidden="1">"c1800"</definedName>
    <definedName name="IQ_PERCENT_CHANGE_EST_EBITDA_MONTH_REUT" hidden="1">"c3913"</definedName>
    <definedName name="IQ_PERCENT_CHANGE_EST_EBITDA_WEEK" hidden="1">"c1799"</definedName>
    <definedName name="IQ_PERCENT_CHANGE_EST_EBITDA_WEEK_REUT" hidden="1">"c3961"</definedName>
    <definedName name="IQ_PERCENT_CHANGE_EST_EPS_12MONTHS" hidden="1">"c1788"</definedName>
    <definedName name="IQ_PERCENT_CHANGE_EST_EPS_12MONTHS_REUT" hidden="1">"c3902"</definedName>
    <definedName name="IQ_PERCENT_CHANGE_EST_EPS_18MONTHS" hidden="1">"c1789"</definedName>
    <definedName name="IQ_PERCENT_CHANGE_EST_EPS_18MONTHS_REUT" hidden="1">"c3903"</definedName>
    <definedName name="IQ_PERCENT_CHANGE_EST_EPS_3MONTHS" hidden="1">"c1785"</definedName>
    <definedName name="IQ_PERCENT_CHANGE_EST_EPS_3MONTHS_REUT" hidden="1">"c3899"</definedName>
    <definedName name="IQ_PERCENT_CHANGE_EST_EPS_6MONTHS" hidden="1">"c1786"</definedName>
    <definedName name="IQ_PERCENT_CHANGE_EST_EPS_6MONTHS_REUT" hidden="1">"c3900"</definedName>
    <definedName name="IQ_PERCENT_CHANGE_EST_EPS_9MONTHS" hidden="1">"c1787"</definedName>
    <definedName name="IQ_PERCENT_CHANGE_EST_EPS_9MONTHS_REUT" hidden="1">"c3901"</definedName>
    <definedName name="IQ_PERCENT_CHANGE_EST_EPS_DAY" hidden="1">"c1782"</definedName>
    <definedName name="IQ_PERCENT_CHANGE_EST_EPS_DAY_REUT" hidden="1">"c3896"</definedName>
    <definedName name="IQ_PERCENT_CHANGE_EST_EPS_MONTH" hidden="1">"c1784"</definedName>
    <definedName name="IQ_PERCENT_CHANGE_EST_EPS_MONTH_REUT" hidden="1">"c3898"</definedName>
    <definedName name="IQ_PERCENT_CHANGE_EST_EPS_WEEK" hidden="1">"c1783"</definedName>
    <definedName name="IQ_PERCENT_CHANGE_EST_EPS_WEEK_REUT" hidden="1">"c3897"</definedName>
    <definedName name="IQ_PERCENT_CHANGE_EST_FFO_12MONTHS" hidden="1">"c1828"</definedName>
    <definedName name="IQ_PERCENT_CHANGE_EST_FFO_12MONTHS_REUT" hidden="1">"c3938"</definedName>
    <definedName name="IQ_PERCENT_CHANGE_EST_FFO_18MONTHS" hidden="1">"c1829"</definedName>
    <definedName name="IQ_PERCENT_CHANGE_EST_FFO_18MONTHS_REUT" hidden="1">"c3939"</definedName>
    <definedName name="IQ_PERCENT_CHANGE_EST_FFO_3MONTHS" hidden="1">"c1825"</definedName>
    <definedName name="IQ_PERCENT_CHANGE_EST_FFO_3MONTHS_REUT" hidden="1">"c3935"</definedName>
    <definedName name="IQ_PERCENT_CHANGE_EST_FFO_6MONTHS" hidden="1">"c1826"</definedName>
    <definedName name="IQ_PERCENT_CHANGE_EST_FFO_6MONTHS_REUT" hidden="1">"c3936"</definedName>
    <definedName name="IQ_PERCENT_CHANGE_EST_FFO_9MONTHS" hidden="1">"c1827"</definedName>
    <definedName name="IQ_PERCENT_CHANGE_EST_FFO_9MONTHS_REUT" hidden="1">"c3937"</definedName>
    <definedName name="IQ_PERCENT_CHANGE_EST_FFO_DAY" hidden="1">"c1822"</definedName>
    <definedName name="IQ_PERCENT_CHANGE_EST_FFO_DAY_REUT" hidden="1">"c3933"</definedName>
    <definedName name="IQ_PERCENT_CHANGE_EST_FFO_MONTH" hidden="1">"c1824"</definedName>
    <definedName name="IQ_PERCENT_CHANGE_EST_FFO_MONTH_REUT" hidden="1">"c3934"</definedName>
    <definedName name="IQ_PERCENT_CHANGE_EST_FFO_WEEK" hidden="1">"c1823"</definedName>
    <definedName name="IQ_PERCENT_CHANGE_EST_FFO_WEEK_REUT" hidden="1">"c3964"</definedName>
    <definedName name="IQ_PERCENT_CHANGE_EST_PRICE_TARGET_12MONTHS" hidden="1">"c1844"</definedName>
    <definedName name="IQ_PERCENT_CHANGE_EST_PRICE_TARGET_12MONTHS_REUT" hidden="1">"c3952"</definedName>
    <definedName name="IQ_PERCENT_CHANGE_EST_PRICE_TARGET_18MONTHS" hidden="1">"c1845"</definedName>
    <definedName name="IQ_PERCENT_CHANGE_EST_PRICE_TARGET_18MONTHS_REUT" hidden="1">"c3953"</definedName>
    <definedName name="IQ_PERCENT_CHANGE_EST_PRICE_TARGET_3MONTHS" hidden="1">"c1841"</definedName>
    <definedName name="IQ_PERCENT_CHANGE_EST_PRICE_TARGET_3MONTHS_REUT" hidden="1">"c3949"</definedName>
    <definedName name="IQ_PERCENT_CHANGE_EST_PRICE_TARGET_6MONTHS" hidden="1">"c1842"</definedName>
    <definedName name="IQ_PERCENT_CHANGE_EST_PRICE_TARGET_6MONTHS_REUT" hidden="1">"c3950"</definedName>
    <definedName name="IQ_PERCENT_CHANGE_EST_PRICE_TARGET_9MONTHS" hidden="1">"c1843"</definedName>
    <definedName name="IQ_PERCENT_CHANGE_EST_PRICE_TARGET_9MONTHS_REUT" hidden="1">"c3951"</definedName>
    <definedName name="IQ_PERCENT_CHANGE_EST_PRICE_TARGET_DAY" hidden="1">"c1838"</definedName>
    <definedName name="IQ_PERCENT_CHANGE_EST_PRICE_TARGET_DAY_REUT" hidden="1">"c3947"</definedName>
    <definedName name="IQ_PERCENT_CHANGE_EST_PRICE_TARGET_MONTH" hidden="1">"c1840"</definedName>
    <definedName name="IQ_PERCENT_CHANGE_EST_PRICE_TARGET_MONTH_REUT" hidden="1">"c3948"</definedName>
    <definedName name="IQ_PERCENT_CHANGE_EST_PRICE_TARGET_WEEK" hidden="1">"c1839"</definedName>
    <definedName name="IQ_PERCENT_CHANGE_EST_PRICE_TARGET_WEEK_REUT" hidden="1">"c3967"</definedName>
    <definedName name="IQ_PERCENT_CHANGE_EST_RECO_12MONTHS" hidden="1">"c1836"</definedName>
    <definedName name="IQ_PERCENT_CHANGE_EST_RECO_12MONTHS_REUT" hidden="1">"c3945"</definedName>
    <definedName name="IQ_PERCENT_CHANGE_EST_RECO_18MONTHS" hidden="1">"c1837"</definedName>
    <definedName name="IQ_PERCENT_CHANGE_EST_RECO_18MONTHS_REUT" hidden="1">"c3946"</definedName>
    <definedName name="IQ_PERCENT_CHANGE_EST_RECO_3MONTHS" hidden="1">"c1833"</definedName>
    <definedName name="IQ_PERCENT_CHANGE_EST_RECO_3MONTHS_REUT" hidden="1">"c3942"</definedName>
    <definedName name="IQ_PERCENT_CHANGE_EST_RECO_6MONTHS" hidden="1">"c1834"</definedName>
    <definedName name="IQ_PERCENT_CHANGE_EST_RECO_6MONTHS_REUT" hidden="1">"c3943"</definedName>
    <definedName name="IQ_PERCENT_CHANGE_EST_RECO_9MONTHS" hidden="1">"c1835"</definedName>
    <definedName name="IQ_PERCENT_CHANGE_EST_RECO_9MONTHS_REUT" hidden="1">"c3944"</definedName>
    <definedName name="IQ_PERCENT_CHANGE_EST_RECO_DAY" hidden="1">"c1830"</definedName>
    <definedName name="IQ_PERCENT_CHANGE_EST_RECO_DAY_REUT" hidden="1">"c3940"</definedName>
    <definedName name="IQ_PERCENT_CHANGE_EST_RECO_MONTH" hidden="1">"c1832"</definedName>
    <definedName name="IQ_PERCENT_CHANGE_EST_RECO_MONTH_REUT" hidden="1">"c3941"</definedName>
    <definedName name="IQ_PERCENT_CHANGE_EST_RECO_WEEK" hidden="1">"c1831"</definedName>
    <definedName name="IQ_PERCENT_CHANGE_EST_RECO_WEEK_REUT" hidden="1">"c3965"</definedName>
    <definedName name="IQ_PERCENT_CHANGE_EST_REV_12MONTHS" hidden="1">"c1796"</definedName>
    <definedName name="IQ_PERCENT_CHANGE_EST_REV_12MONTHS_REUT" hidden="1">"c3910"</definedName>
    <definedName name="IQ_PERCENT_CHANGE_EST_REV_18MONTHS" hidden="1">"c1797"</definedName>
    <definedName name="IQ_PERCENT_CHANGE_EST_REV_18MONTHS_REUT" hidden="1">"c3911"</definedName>
    <definedName name="IQ_PERCENT_CHANGE_EST_REV_3MONTHS" hidden="1">"c1793"</definedName>
    <definedName name="IQ_PERCENT_CHANGE_EST_REV_3MONTHS_REUT" hidden="1">"c3907"</definedName>
    <definedName name="IQ_PERCENT_CHANGE_EST_REV_6MONTHS" hidden="1">"c1794"</definedName>
    <definedName name="IQ_PERCENT_CHANGE_EST_REV_6MONTHS_REUT" hidden="1">"c3908"</definedName>
    <definedName name="IQ_PERCENT_CHANGE_EST_REV_9MONTHS" hidden="1">"c1795"</definedName>
    <definedName name="IQ_PERCENT_CHANGE_EST_REV_9MONTHS_REUT" hidden="1">"c3909"</definedName>
    <definedName name="IQ_PERCENT_CHANGE_EST_REV_DAY" hidden="1">"c1790"</definedName>
    <definedName name="IQ_PERCENT_CHANGE_EST_REV_DAY_REUT" hidden="1">"c3904"</definedName>
    <definedName name="IQ_PERCENT_CHANGE_EST_REV_MONTH" hidden="1">"c1792"</definedName>
    <definedName name="IQ_PERCENT_CHANGE_EST_REV_MONTH_REUT" hidden="1">"c3906"</definedName>
    <definedName name="IQ_PERCENT_CHANGE_EST_REV_WEEK" hidden="1">"c1791"</definedName>
    <definedName name="IQ_PERCENT_CHANGE_EST_REV_WEEK_REUT" hidden="1">"c3905"</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OTENTIAL_UPSIDE_REUT" hidden="1">"c3968"</definedName>
    <definedName name="IQ_PRE_OPEN_COST" hidden="1">"c1040"</definedName>
    <definedName name="IQ_PRE_TAX_ACT_OR_EST" hidden="1">"c2221"</definedName>
    <definedName name="IQ_PRE_TAX_ACT_OR_EST_REUT" hidden="1">"c5467"</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EST_REUT" hidden="1">"c5354"</definedName>
    <definedName name="IQ_PRETAX_GW_INC_HIGH_EST" hidden="1">"c1704"</definedName>
    <definedName name="IQ_PRETAX_GW_INC_HIGH_EST_REUT" hidden="1">"c5356"</definedName>
    <definedName name="IQ_PRETAX_GW_INC_LOW_EST" hidden="1">"c1705"</definedName>
    <definedName name="IQ_PRETAX_GW_INC_LOW_EST_REUT" hidden="1">"c5357"</definedName>
    <definedName name="IQ_PRETAX_GW_INC_MEDIAN_EST" hidden="1">"c1703"</definedName>
    <definedName name="IQ_PRETAX_GW_INC_MEDIAN_EST_REUT" hidden="1">"c5355"</definedName>
    <definedName name="IQ_PRETAX_GW_INC_NUM_EST" hidden="1">"c1706"</definedName>
    <definedName name="IQ_PRETAX_GW_INC_NUM_EST_REUT" hidden="1">"c5358"</definedName>
    <definedName name="IQ_PRETAX_GW_INC_STDDEV_EST" hidden="1">"c1707"</definedName>
    <definedName name="IQ_PRETAX_GW_INC_STDDEV_EST_REUT" hidden="1">"c5359"</definedName>
    <definedName name="IQ_PRETAX_INC_EST" hidden="1">"c1695"</definedName>
    <definedName name="IQ_PRETAX_INC_EST_REUT" hidden="1">"c5347"</definedName>
    <definedName name="IQ_PRETAX_INC_HIGH_EST" hidden="1">"c1697"</definedName>
    <definedName name="IQ_PRETAX_INC_HIGH_EST_REUT" hidden="1">"c5349"</definedName>
    <definedName name="IQ_PRETAX_INC_LOW_EST" hidden="1">"c1698"</definedName>
    <definedName name="IQ_PRETAX_INC_LOW_EST_REUT" hidden="1">"c5350"</definedName>
    <definedName name="IQ_PRETAX_INC_MEDIAN_EST" hidden="1">"c1696"</definedName>
    <definedName name="IQ_PRETAX_INC_MEDIAN_EST_REUT" hidden="1">"c5348"</definedName>
    <definedName name="IQ_PRETAX_INC_NUM_EST" hidden="1">"c1699"</definedName>
    <definedName name="IQ_PRETAX_INC_NUM_EST_REUT" hidden="1">"c5351"</definedName>
    <definedName name="IQ_PRETAX_INC_STDDEV_EST" hidden="1">"c1700"</definedName>
    <definedName name="IQ_PRETAX_INC_STDDEV_EST_REUT" hidden="1">"c5352"</definedName>
    <definedName name="IQ_PRETAX_REPORT_INC_EST" hidden="1">"c1709"</definedName>
    <definedName name="IQ_PRETAX_REPORT_INC_EST_REUT" hidden="1">"c5361"</definedName>
    <definedName name="IQ_PRETAX_REPORT_INC_HIGH_EST" hidden="1">"c1711"</definedName>
    <definedName name="IQ_PRETAX_REPORT_INC_HIGH_EST_REUT" hidden="1">"c5363"</definedName>
    <definedName name="IQ_PRETAX_REPORT_INC_LOW_EST" hidden="1">"c1712"</definedName>
    <definedName name="IQ_PRETAX_REPORT_INC_LOW_EST_REUT" hidden="1">"c5364"</definedName>
    <definedName name="IQ_PRETAX_REPORT_INC_MEDIAN_EST" hidden="1">"c1710"</definedName>
    <definedName name="IQ_PRETAX_REPORT_INC_MEDIAN_EST_REUT" hidden="1">"c5362"</definedName>
    <definedName name="IQ_PRETAX_REPORT_INC_NUM_EST" hidden="1">"c1713"</definedName>
    <definedName name="IQ_PRETAX_REPORT_INC_NUM_EST_REUT" hidden="1">"c5365"</definedName>
    <definedName name="IQ_PRETAX_REPORT_INC_STDDEV_EST" hidden="1">"c1714"</definedName>
    <definedName name="IQ_PRETAX_REPORT_INC_STDDEV_EST_REUT" hidden="1">"c5366"</definedName>
    <definedName name="IQ_PRICE_CFPS_FWD" hidden="1">"c2237"</definedName>
    <definedName name="IQ_PRICE_CFPS_FWD_REUT" hidden="1">"c4053"</definedName>
    <definedName name="IQ_PRICE_OVER_BVPS" hidden="1">"c1412"</definedName>
    <definedName name="IQ_PRICE_OVER_LTM_EPS" hidden="1">"c1413"</definedName>
    <definedName name="IQ_PRICE_TARGET" hidden="1">"c82"</definedName>
    <definedName name="IQ_PRICE_TARGET_BOTTOM_UP" hidden="1">"c5486"</definedName>
    <definedName name="IQ_PRICE_TARGET_BOTTOM_UP_REUT" hidden="1">"c5494"</definedName>
    <definedName name="IQ_PRICE_TARGET_REUT" hidden="1">"c3631"</definedName>
    <definedName name="IQ_PRICE_VOLATILITY_EST" hidden="1">"c4492"</definedName>
    <definedName name="IQ_PRICE_VOLATILITY_HIGH" hidden="1">"c4493"</definedName>
    <definedName name="IQ_PRICE_VOLATILITY_LOW" hidden="1">"c4494"</definedName>
    <definedName name="IQ_PRICE_VOLATILITY_MEDIAN" hidden="1">"c4495"</definedName>
    <definedName name="IQ_PRICE_VOLATILITY_NUM" hidden="1">"c4496"</definedName>
    <definedName name="IQ_PRICE_VOLATILITY_STDDEV" hidden="1">"c4497"</definedName>
    <definedName name="IQ_PRICEDATE" hidden="1">"c1069"</definedName>
    <definedName name="IQ_PRICING_DATE" hidden="1">"c1613"</definedName>
    <definedName name="IQ_PRIMARY_EPS_TYPE" hidden="1">"c4498"</definedName>
    <definedName name="IQ_PRIMARY_EPS_TYPE_REUT" hidden="1">"c5481"</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CHARGE_OFFS" hidden="1">"c1083"</definedName>
    <definedName name="IQ_PTBV" hidden="1">"c1084"</definedName>
    <definedName name="IQ_PTBV_AVG" hidden="1">"c1085"</definedName>
    <definedName name="IQ_PUT_DATE_SCHEDULE" hidden="1">"c2483"</definedName>
    <definedName name="IQ_PUT_NOTIFICATION" hidden="1">"c2485"</definedName>
    <definedName name="IQ_PUT_PRICE_SCHEDULE" hidden="1">"c2484"</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CURRING_PROFIT_ACT_OR_EST" hidden="1">"c4507"</definedName>
    <definedName name="IQ_RECURRING_PROFIT_EST" hidden="1">"c4499"</definedName>
    <definedName name="IQ_RECURRING_PROFIT_GUIDANCE" hidden="1">"c4500"</definedName>
    <definedName name="IQ_RECURRING_PROFIT_HIGH_EST" hidden="1">"c4501"</definedName>
    <definedName name="IQ_RECURRING_PROFIT_HIGH_GUIDANCE" hidden="1">"c4179"</definedName>
    <definedName name="IQ_RECURRING_PROFIT_LOW_EST" hidden="1">"c4502"</definedName>
    <definedName name="IQ_RECURRING_PROFIT_LOW_GUIDANCE" hidden="1">"c4219"</definedName>
    <definedName name="IQ_RECURRING_PROFIT_MEDIAN_EST" hidden="1">"c4503"</definedName>
    <definedName name="IQ_RECURRING_PROFIT_NUM_EST" hidden="1">"c4504"</definedName>
    <definedName name="IQ_RECURRING_PROFIT_SHARE_ACT_OR_EST" hidden="1">"c4508"</definedName>
    <definedName name="IQ_RECURRING_PROFIT_SHARE_EST" hidden="1">"c4506"</definedName>
    <definedName name="IQ_RECURRING_PROFIT_SHARE_GUIDANCE" hidden="1">"c4509"</definedName>
    <definedName name="IQ_RECURRING_PROFIT_SHARE_HIGH_EST" hidden="1">"c4510"</definedName>
    <definedName name="IQ_RECURRING_PROFIT_SHARE_HIGH_GUIDANCE" hidden="1">"c4200"</definedName>
    <definedName name="IQ_RECURRING_PROFIT_SHARE_LOW_EST" hidden="1">"c4511"</definedName>
    <definedName name="IQ_RECURRING_PROFIT_SHARE_LOW_GUIDANCE" hidden="1">"c4240"</definedName>
    <definedName name="IQ_RECURRING_PROFIT_SHARE_MEDIAN_EST" hidden="1">"c4512"</definedName>
    <definedName name="IQ_RECURRING_PROFIT_SHARE_NUM_EST" hidden="1">"c4513"</definedName>
    <definedName name="IQ_RECURRING_PROFIT_SHARE_STDDEV_EST" hidden="1">"c4514"</definedName>
    <definedName name="IQ_RECURRING_PROFIT_STDDEV_EST" hidden="1">"c4516"</definedName>
    <definedName name="IQ_REDEEM_PREF_STOCK" hidden="1">"c1417"</definedName>
    <definedName name="IQ_REF_ENTITY" hidden="1">"c6033"</definedName>
    <definedName name="IQ_REF_ENTITY_CIQID" hidden="1">"c6024"</definedName>
    <definedName name="IQ_REF_ENTITY_TICKER" hidden="1">"c6023"</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UTI" hidden="1">"c1111"</definedName>
    <definedName name="IQ_RESTRUCTURED_LOANS" hidden="1">"c1112"</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ACT_OR_EST" hidden="1">"c3585"</definedName>
    <definedName name="IQ_RETURN_ASSETS_ACT_OR_EST_REUT" hidden="1">"c5475"</definedName>
    <definedName name="IQ_RETURN_ASSETS_BANK" hidden="1">"c1114"</definedName>
    <definedName name="IQ_RETURN_ASSETS_BROK" hidden="1">"c1115"</definedName>
    <definedName name="IQ_RETURN_ASSETS_EST" hidden="1">"c3529"</definedName>
    <definedName name="IQ_RETURN_ASSETS_EST_REUT" hidden="1">"c3990"</definedName>
    <definedName name="IQ_RETURN_ASSETS_FS" hidden="1">"c1116"</definedName>
    <definedName name="IQ_RETURN_ASSETS_GUIDANCE" hidden="1">"c4517"</definedName>
    <definedName name="IQ_RETURN_ASSETS_HIGH_EST" hidden="1">"c3530"</definedName>
    <definedName name="IQ_RETURN_ASSETS_HIGH_EST_REUT" hidden="1">"c3992"</definedName>
    <definedName name="IQ_RETURN_ASSETS_HIGH_GUIDANCE" hidden="1">"c4183"</definedName>
    <definedName name="IQ_RETURN_ASSETS_LOW_EST" hidden="1">"c3531"</definedName>
    <definedName name="IQ_RETURN_ASSETS_LOW_EST_REUT" hidden="1">"c3993"</definedName>
    <definedName name="IQ_RETURN_ASSETS_LOW_GUIDANCE" hidden="1">"c4223"</definedName>
    <definedName name="IQ_RETURN_ASSETS_MEDIAN_EST" hidden="1">"c3532"</definedName>
    <definedName name="IQ_RETURN_ASSETS_MEDIAN_EST_REUT" hidden="1">"c3991"</definedName>
    <definedName name="IQ_RETURN_ASSETS_NUM_EST" hidden="1">"c3527"</definedName>
    <definedName name="IQ_RETURN_ASSETS_NUM_EST_REUT" hidden="1">"c3994"</definedName>
    <definedName name="IQ_RETURN_ASSETS_STDDEV_EST" hidden="1">"c3528"</definedName>
    <definedName name="IQ_RETURN_ASSETS_STDDEV_EST_REUT" hidden="1">"c3995"</definedName>
    <definedName name="IQ_RETURN_CAPITAL" hidden="1">"c1117"</definedName>
    <definedName name="IQ_RETURN_EQUITY" hidden="1">"c1118"</definedName>
    <definedName name="IQ_RETURN_EQUITY_ACT_OR_EST" hidden="1">"c3586"</definedName>
    <definedName name="IQ_RETURN_EQUITY_ACT_OR_EST_REUT" hidden="1">"c5476"</definedName>
    <definedName name="IQ_RETURN_EQUITY_BANK" hidden="1">"c1119"</definedName>
    <definedName name="IQ_RETURN_EQUITY_BROK" hidden="1">"c1120"</definedName>
    <definedName name="IQ_RETURN_EQUITY_EST" hidden="1">"c3535"</definedName>
    <definedName name="IQ_RETURN_EQUITY_EST_REUT" hidden="1">"c3983"</definedName>
    <definedName name="IQ_RETURN_EQUITY_FS" hidden="1">"c1121"</definedName>
    <definedName name="IQ_RETURN_EQUITY_GUIDANCE" hidden="1">"c4518"</definedName>
    <definedName name="IQ_RETURN_EQUITY_HIGH_EST" hidden="1">"c3536"</definedName>
    <definedName name="IQ_RETURN_EQUITY_HIGH_EST_REUT" hidden="1">"c3985"</definedName>
    <definedName name="IQ_RETURN_EQUITY_HIGH_GUIDANCE" hidden="1">"c4182"</definedName>
    <definedName name="IQ_RETURN_EQUITY_LOW_EST" hidden="1">"c3537"</definedName>
    <definedName name="IQ_RETURN_EQUITY_LOW_EST_REUT" hidden="1">"c3986"</definedName>
    <definedName name="IQ_RETURN_EQUITY_LOW_GUIDANCE" hidden="1">"c4222"</definedName>
    <definedName name="IQ_RETURN_EQUITY_MEDIAN_EST" hidden="1">"c3538"</definedName>
    <definedName name="IQ_RETURN_EQUITY_MEDIAN_EST_REUT" hidden="1">"c3984"</definedName>
    <definedName name="IQ_RETURN_EQUITY_NUM_EST" hidden="1">"c3533"</definedName>
    <definedName name="IQ_RETURN_EQUITY_NUM_EST_REUT" hidden="1">"c3987"</definedName>
    <definedName name="IQ_RETURN_EQUITY_STDDEV_EST" hidden="1">"c3534"</definedName>
    <definedName name="IQ_RETURN_EQUITY_STDDEV_EST_REUT" hidden="1">"c3988"</definedName>
    <definedName name="IQ_RETURN_INVESTMENT" hidden="1">"c1421"</definedName>
    <definedName name="IQ_REV" hidden="1">"c1122"</definedName>
    <definedName name="IQ_REV_BEFORE_LL" hidden="1">"c1123"</definedName>
    <definedName name="IQ_REV_STDDEV_EST" hidden="1">"c1124"</definedName>
    <definedName name="IQ_REV_STDDEV_EST_REUT" hidden="1">"c3639"</definedName>
    <definedName name="IQ_REV_UTI" hidden="1">"c1125"</definedName>
    <definedName name="IQ_REVENUE" hidden="1">"c1422"</definedName>
    <definedName name="IQ_REVENUE_ACT_OR_EST" hidden="1">"c2214"</definedName>
    <definedName name="IQ_REVENUE_ACT_OR_EST_REUT" hidden="1">"c5461"</definedName>
    <definedName name="IQ_REVENUE_EST" hidden="1">"c1126"</definedName>
    <definedName name="IQ_REVENUE_EST_BOTTOM_UP" hidden="1">"c5488"</definedName>
    <definedName name="IQ_REVENUE_EST_BOTTOM_UP_REUT" hidden="1">"c5496"</definedName>
    <definedName name="IQ_REVENUE_EST_REUT" hidden="1">"c3634"</definedName>
    <definedName name="IQ_REVENUE_GUIDANCE" hidden="1">"c4519"</definedName>
    <definedName name="IQ_REVENUE_HIGH_EST" hidden="1">"c1127"</definedName>
    <definedName name="IQ_REVENUE_HIGH_EST_REUT" hidden="1">"c3636"</definedName>
    <definedName name="IQ_REVENUE_HIGH_GUIDANCE" hidden="1">"c4169"</definedName>
    <definedName name="IQ_REVENUE_LOW_EST" hidden="1">"c1128"</definedName>
    <definedName name="IQ_REVENUE_LOW_EST_REUT" hidden="1">"c3637"</definedName>
    <definedName name="IQ_REVENUE_LOW_GUIDANCE" hidden="1">"c4209"</definedName>
    <definedName name="IQ_REVENUE_MEDIAN_EST" hidden="1">"c1662"</definedName>
    <definedName name="IQ_REVENUE_MEDIAN_EST_REUT" hidden="1">"c3635"</definedName>
    <definedName name="IQ_REVENUE_NUM_EST" hidden="1">"c1129"</definedName>
    <definedName name="IQ_REVENUE_NUM_EST_REUT" hidden="1">"c3638"</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 hidden="1">"c5513"</definedName>
    <definedName name="IQ_SECUR_RECEIV" hidden="1">"c1151"</definedName>
    <definedName name="IQ_SECURED_DEBT" hidden="1">"c2546"</definedName>
    <definedName name="IQ_SECURED_DEBT_PCT" hidden="1">"c2547"</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OUTSTANDING" hidden="1">"c1347"</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_BANK" hidden="1">"c2637"</definedName>
    <definedName name="IQ_SP_BANK_ACTION" hidden="1">"c2636"</definedName>
    <definedName name="IQ_SP_BANK_DATE" hidden="1">"c2635"</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OUTLOOK_WATCH" hidden="1">"c2639"</definedName>
    <definedName name="IQ_SP_OUTLOOK_WATCH_DATE" hidden="1">"c2638"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GA" hidden="1">"c2993"</definedName>
    <definedName name="IQ_STOCK_BASED_HIGH_EST" hidden="1">"c4521"</definedName>
    <definedName name="IQ_STOCK_BASED_LOW_EST" hidden="1">"c4522"</definedName>
    <definedName name="IQ_STOCK_BASED_MEDIAN_EST" hidden="1">"c4523"</definedName>
    <definedName name="IQ_STOCK_BASED_NUM_EST" hidden="1">"c4524"</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NUM_REUT" hidden="1">"c5319"</definedName>
    <definedName name="IQ_TARGET_PRICE_STDDEV" hidden="1">"c1654"</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_FWD" hidden="1">"c2238"</definedName>
    <definedName name="IQ_TEV_EBIT_FWD_REUT" hidden="1">"c4054"</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EST" hidden="1">"c4526"</definedName>
    <definedName name="IQ_TEV_HIGH_EST" hidden="1">"c4527"</definedName>
    <definedName name="IQ_TEV_LOW_EST" hidden="1">"c4528"</definedName>
    <definedName name="IQ_TEV_MEDIAN_EST" hidden="1">"c4529"</definedName>
    <definedName name="IQ_TEV_NUM_EST" hidden="1">"c4530"</definedName>
    <definedName name="IQ_TEV_STDDEV_EST" hidden="1">"c4531"</definedName>
    <definedName name="IQ_TEV_TOTAL_REV" hidden="1">"c1226"</definedName>
    <definedName name="IQ_TEV_TOTAL_REV_AVG" hidden="1">"c1227"</definedName>
    <definedName name="IQ_TEV_TOTAL_REV_FWD" hidden="1">"c1228"</definedName>
    <definedName name="IQ_TEV_TOTAL_REV_FWD_REUT" hidden="1">"c4051"</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XCL_FIN" hidden="1">"c2937"</definedName>
    <definedName name="IQ_TOTAL_DEBT_GUIDANCE" hidden="1">"c4533"</definedName>
    <definedName name="IQ_TOTAL_DEBT_HIGH_EST" hidden="1">"c4534"</definedName>
    <definedName name="IQ_TOTAL_DEBT_HIGH_GUIDANCE" hidden="1">"c4196"</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LOW_GUIDANCE" hidden="1">"c4236"</definedName>
    <definedName name="IQ_TOTAL_DEBT_MEDIAN_EST" hidden="1">"c4536"</definedName>
    <definedName name="IQ_TOTAL_DEBT_NUM_EST" hidden="1">"c4537"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TDDEV_EST" hidden="1">"c4538"</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IP_INV" hidden="1">"c1335"</definedName>
    <definedName name="IQ_WORKING_CAP" hidden="1">"c3494"</definedName>
    <definedName name="IQ_WORKMEN_WRITTEN" hidden="1">"c1336"</definedName>
    <definedName name="IQ_XDIV_DATE" hidden="1">"c2104"</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W" hidden="1">"c2163"</definedName>
    <definedName name="IQ_YTW_DATE" hidden="1">"c2164"</definedName>
    <definedName name="IQ_YTW_DATE_TYPE" hidden="1">"c2165"</definedName>
    <definedName name="IQ_Z_SCORE" hidden="1">"c1339"</definedName>
    <definedName name="IS" localSheetId="3" hidden="1">{#N/A,#N/A,TRUE,"forside";#N/A,#N/A,TRUE,"Res_AOGT";#N/A,#N/A,TRUE,"Bal_AOGT";#N/A,#N/A,TRUE,"Kont_AOGT";#N/A,#N/A,TRUE,"Note 1-5";#N/A,#N/A,TRUE,"Note 6-9";#N/A,#N/A,TRUE,"Bal_note10-14";#N/A,#N/A,TRUE,"Note 15-16";#N/A,#N/A,TRUE,"Note 17-19";#N/A,#N/A,TRUE,"Note 19 forts.";#N/A,#N/A,TRUE,"Note 20-23";#N/A,#N/A,TRUE,"Nøkkeltall"}</definedName>
    <definedName name="IS" localSheetId="6" hidden="1">{#N/A,#N/A,TRUE,"forside";#N/A,#N/A,TRUE,"Res_AOGT";#N/A,#N/A,TRUE,"Bal_AOGT";#N/A,#N/A,TRUE,"Kont_AOGT";#N/A,#N/A,TRUE,"Note 1-5";#N/A,#N/A,TRUE,"Note 6-9";#N/A,#N/A,TRUE,"Bal_note10-14";#N/A,#N/A,TRUE,"Note 15-16";#N/A,#N/A,TRUE,"Note 17-19";#N/A,#N/A,TRUE,"Note 19 forts.";#N/A,#N/A,TRUE,"Note 20-23";#N/A,#N/A,TRUE,"Nøkkeltall"}</definedName>
    <definedName name="IS" localSheetId="7" hidden="1">{#N/A,#N/A,TRUE,"forside";#N/A,#N/A,TRUE,"Res_AOGT";#N/A,#N/A,TRUE,"Bal_AOGT";#N/A,#N/A,TRUE,"Kont_AOGT";#N/A,#N/A,TRUE,"Note 1-5";#N/A,#N/A,TRUE,"Note 6-9";#N/A,#N/A,TRUE,"Bal_note10-14";#N/A,#N/A,TRUE,"Note 15-16";#N/A,#N/A,TRUE,"Note 17-19";#N/A,#N/A,TRUE,"Note 19 forts.";#N/A,#N/A,TRUE,"Note 20-23";#N/A,#N/A,TRUE,"Nøkkeltall"}</definedName>
    <definedName name="IS" localSheetId="10" hidden="1">{#N/A,#N/A,TRUE,"forside";#N/A,#N/A,TRUE,"Res_AOGT";#N/A,#N/A,TRUE,"Bal_AOGT";#N/A,#N/A,TRUE,"Kont_AOGT";#N/A,#N/A,TRUE,"Note 1-5";#N/A,#N/A,TRUE,"Note 6-9";#N/A,#N/A,TRUE,"Bal_note10-14";#N/A,#N/A,TRUE,"Note 15-16";#N/A,#N/A,TRUE,"Note 17-19";#N/A,#N/A,TRUE,"Note 19 forts.";#N/A,#N/A,TRUE,"Note 20-23";#N/A,#N/A,TRUE,"Nøkkeltall"}</definedName>
    <definedName name="IS" localSheetId="11" hidden="1">{#N/A,#N/A,TRUE,"forside";#N/A,#N/A,TRUE,"Res_AOGT";#N/A,#N/A,TRUE,"Bal_AOGT";#N/A,#N/A,TRUE,"Kont_AOGT";#N/A,#N/A,TRUE,"Note 1-5";#N/A,#N/A,TRUE,"Note 6-9";#N/A,#N/A,TRUE,"Bal_note10-14";#N/A,#N/A,TRUE,"Note 15-16";#N/A,#N/A,TRUE,"Note 17-19";#N/A,#N/A,TRUE,"Note 19 forts.";#N/A,#N/A,TRUE,"Note 20-23";#N/A,#N/A,TRUE,"Nøkkeltall"}</definedName>
    <definedName name="IS" localSheetId="5" hidden="1">{#N/A,#N/A,TRUE,"forside";#N/A,#N/A,TRUE,"Res_AOGT";#N/A,#N/A,TRUE,"Bal_AOGT";#N/A,#N/A,TRUE,"Kont_AOGT";#N/A,#N/A,TRUE,"Note 1-5";#N/A,#N/A,TRUE,"Note 6-9";#N/A,#N/A,TRUE,"Bal_note10-14";#N/A,#N/A,TRUE,"Note 15-16";#N/A,#N/A,TRUE,"Note 17-19";#N/A,#N/A,TRUE,"Note 19 forts.";#N/A,#N/A,TRUE,"Note 20-23";#N/A,#N/A,TRUE,"Nøkkeltall"}</definedName>
    <definedName name="IS" localSheetId="4" hidden="1">{#N/A,#N/A,TRUE,"forside";#N/A,#N/A,TRUE,"Res_AOGT";#N/A,#N/A,TRUE,"Bal_AOGT";#N/A,#N/A,TRUE,"Kont_AOGT";#N/A,#N/A,TRUE,"Note 1-5";#N/A,#N/A,TRUE,"Note 6-9";#N/A,#N/A,TRUE,"Bal_note10-14";#N/A,#N/A,TRUE,"Note 15-16";#N/A,#N/A,TRUE,"Note 17-19";#N/A,#N/A,TRUE,"Note 19 forts.";#N/A,#N/A,TRUE,"Note 20-23";#N/A,#N/A,TRUE,"Nøkkeltall"}</definedName>
    <definedName name="IS" hidden="1">{#N/A,#N/A,TRUE,"forside";#N/A,#N/A,TRUE,"Res_AOGT";#N/A,#N/A,TRUE,"Bal_AOGT";#N/A,#N/A,TRUE,"Kont_AOGT";#N/A,#N/A,TRUE,"Note 1-5";#N/A,#N/A,TRUE,"Note 6-9";#N/A,#N/A,TRUE,"Bal_note10-14";#N/A,#N/A,TRUE,"Note 15-16";#N/A,#N/A,TRUE,"Note 17-19";#N/A,#N/A,TRUE,"Note 19 forts.";#N/A,#N/A,TRUE,"Note 20-23";#N/A,#N/A,TRUE,"Nøkkeltall"}</definedName>
    <definedName name="IsColHidden" hidden="1">FALSE</definedName>
    <definedName name="IsLTMColHidden" hidden="1">FALSE</definedName>
    <definedName name="IUO" localSheetId="3" hidden="1">{"'Quadro'!$A$4:$BG$78"}</definedName>
    <definedName name="IUO" localSheetId="6" hidden="1">{"'Quadro'!$A$4:$BG$78"}</definedName>
    <definedName name="IUO" localSheetId="7" hidden="1">{"'Quadro'!$A$4:$BG$78"}</definedName>
    <definedName name="IUO" localSheetId="10" hidden="1">{"'Quadro'!$A$4:$BG$78"}</definedName>
    <definedName name="IUO" localSheetId="11" hidden="1">{"'Quadro'!$A$4:$BG$78"}</definedName>
    <definedName name="IUO" localSheetId="5" hidden="1">{"'Quadro'!$A$4:$BG$78"}</definedName>
    <definedName name="IUO" localSheetId="4" hidden="1">{"'Quadro'!$A$4:$BG$78"}</definedName>
    <definedName name="IUO" hidden="1">{"'Quadro'!$A$4:$BG$78"}</definedName>
    <definedName name="J" hidden="1">#REF!</definedName>
    <definedName name="Jan" localSheetId="3"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Jan" localSheetId="6"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Jan" localSheetId="7"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Jan" localSheetId="10"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Jan" localSheetId="1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Jan" localSheetId="5"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Jan" localSheetId="4"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Jan"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jçkj" localSheetId="3" hidden="1">{"'CptDifn'!$AA$32:$AG$32"}</definedName>
    <definedName name="jçkj" localSheetId="6" hidden="1">{"'CptDifn'!$AA$32:$AG$32"}</definedName>
    <definedName name="jçkj" localSheetId="7" hidden="1">{"'CptDifn'!$AA$32:$AG$32"}</definedName>
    <definedName name="jçkj" localSheetId="10" hidden="1">{"'CptDifn'!$AA$32:$AG$32"}</definedName>
    <definedName name="jçkj" localSheetId="11" hidden="1">{"'CptDifn'!$AA$32:$AG$32"}</definedName>
    <definedName name="jçkj" localSheetId="5" hidden="1">{"'CptDifn'!$AA$32:$AG$32"}</definedName>
    <definedName name="jçkj" localSheetId="4" hidden="1">{"'CptDifn'!$AA$32:$AG$32"}</definedName>
    <definedName name="jçkj" hidden="1">{"'CptDifn'!$AA$32:$AG$32"}</definedName>
    <definedName name="jjjj" localSheetId="3" hidden="1">{#N/A,#N/A,FALSE,"ResRegn.A-kons.";#N/A,#N/A,FALSE,"Bal3112.A-kons.";#N/A,#N/A,FALSE,"Kont.a.A-kons.";#N/A,#N/A,FALSE,"Kont.a.A-kons.";#N/A,#N/A,FALSE,"Del av Note 9";#N/A,#N/A,FALSE,"Noter Balanse.A-kons.";#N/A,#N/A,FALSE,"Note 18-19.A-kons.";#N/A,#N/A,FALSE,"Note 20-1.A-kons.";#N/A,#N/A,FALSE,"Note 20-2.A-kons.";#N/A,#N/A,FALSE,"Note 21-22-23.A-kons.";#N/A,#N/A,FALSE,"Note 25-28.A-kons.";#N/A,#N/A,FALSE,"Note 23-24.A-kons.";#N/A,#N/A,FALSE,"Kont.a.A-kons.";#N/A,#N/A,FALSE,"Note11-12";#N/A,#N/A,FALSE,"Noter res.regn.A-kons. ";#N/A,#N/A,FALSE,"Note 29-30.A-kons.";#N/A,#N/A,FALSE,"Note 31-33.A-kons.";#N/A,#N/A,FALSE,"Note 34-35.A-kons."}</definedName>
    <definedName name="jjjj" localSheetId="6" hidden="1">{#N/A,#N/A,FALSE,"ResRegn.A-kons.";#N/A,#N/A,FALSE,"Bal3112.A-kons.";#N/A,#N/A,FALSE,"Kont.a.A-kons.";#N/A,#N/A,FALSE,"Kont.a.A-kons.";#N/A,#N/A,FALSE,"Del av Note 9";#N/A,#N/A,FALSE,"Noter Balanse.A-kons.";#N/A,#N/A,FALSE,"Note 18-19.A-kons.";#N/A,#N/A,FALSE,"Note 20-1.A-kons.";#N/A,#N/A,FALSE,"Note 20-2.A-kons.";#N/A,#N/A,FALSE,"Note 21-22-23.A-kons.";#N/A,#N/A,FALSE,"Note 25-28.A-kons.";#N/A,#N/A,FALSE,"Note 23-24.A-kons.";#N/A,#N/A,FALSE,"Kont.a.A-kons.";#N/A,#N/A,FALSE,"Note11-12";#N/A,#N/A,FALSE,"Noter res.regn.A-kons. ";#N/A,#N/A,FALSE,"Note 29-30.A-kons.";#N/A,#N/A,FALSE,"Note 31-33.A-kons.";#N/A,#N/A,FALSE,"Note 34-35.A-kons."}</definedName>
    <definedName name="jjjj" localSheetId="7" hidden="1">{#N/A,#N/A,FALSE,"ResRegn.A-kons.";#N/A,#N/A,FALSE,"Bal3112.A-kons.";#N/A,#N/A,FALSE,"Kont.a.A-kons.";#N/A,#N/A,FALSE,"Kont.a.A-kons.";#N/A,#N/A,FALSE,"Del av Note 9";#N/A,#N/A,FALSE,"Noter Balanse.A-kons.";#N/A,#N/A,FALSE,"Note 18-19.A-kons.";#N/A,#N/A,FALSE,"Note 20-1.A-kons.";#N/A,#N/A,FALSE,"Note 20-2.A-kons.";#N/A,#N/A,FALSE,"Note 21-22-23.A-kons.";#N/A,#N/A,FALSE,"Note 25-28.A-kons.";#N/A,#N/A,FALSE,"Note 23-24.A-kons.";#N/A,#N/A,FALSE,"Kont.a.A-kons.";#N/A,#N/A,FALSE,"Note11-12";#N/A,#N/A,FALSE,"Noter res.regn.A-kons. ";#N/A,#N/A,FALSE,"Note 29-30.A-kons.";#N/A,#N/A,FALSE,"Note 31-33.A-kons.";#N/A,#N/A,FALSE,"Note 34-35.A-kons."}</definedName>
    <definedName name="jjjj" localSheetId="10" hidden="1">{#N/A,#N/A,FALSE,"ResRegn.A-kons.";#N/A,#N/A,FALSE,"Bal3112.A-kons.";#N/A,#N/A,FALSE,"Kont.a.A-kons.";#N/A,#N/A,FALSE,"Kont.a.A-kons.";#N/A,#N/A,FALSE,"Del av Note 9";#N/A,#N/A,FALSE,"Noter Balanse.A-kons.";#N/A,#N/A,FALSE,"Note 18-19.A-kons.";#N/A,#N/A,FALSE,"Note 20-1.A-kons.";#N/A,#N/A,FALSE,"Note 20-2.A-kons.";#N/A,#N/A,FALSE,"Note 21-22-23.A-kons.";#N/A,#N/A,FALSE,"Note 25-28.A-kons.";#N/A,#N/A,FALSE,"Note 23-24.A-kons.";#N/A,#N/A,FALSE,"Kont.a.A-kons.";#N/A,#N/A,FALSE,"Note11-12";#N/A,#N/A,FALSE,"Noter res.regn.A-kons. ";#N/A,#N/A,FALSE,"Note 29-30.A-kons.";#N/A,#N/A,FALSE,"Note 31-33.A-kons.";#N/A,#N/A,FALSE,"Note 34-35.A-kons."}</definedName>
    <definedName name="jjjj" localSheetId="11" hidden="1">{#N/A,#N/A,FALSE,"ResRegn.A-kons.";#N/A,#N/A,FALSE,"Bal3112.A-kons.";#N/A,#N/A,FALSE,"Kont.a.A-kons.";#N/A,#N/A,FALSE,"Kont.a.A-kons.";#N/A,#N/A,FALSE,"Del av Note 9";#N/A,#N/A,FALSE,"Noter Balanse.A-kons.";#N/A,#N/A,FALSE,"Note 18-19.A-kons.";#N/A,#N/A,FALSE,"Note 20-1.A-kons.";#N/A,#N/A,FALSE,"Note 20-2.A-kons.";#N/A,#N/A,FALSE,"Note 21-22-23.A-kons.";#N/A,#N/A,FALSE,"Note 25-28.A-kons.";#N/A,#N/A,FALSE,"Note 23-24.A-kons.";#N/A,#N/A,FALSE,"Kont.a.A-kons.";#N/A,#N/A,FALSE,"Note11-12";#N/A,#N/A,FALSE,"Noter res.regn.A-kons. ";#N/A,#N/A,FALSE,"Note 29-30.A-kons.";#N/A,#N/A,FALSE,"Note 31-33.A-kons.";#N/A,#N/A,FALSE,"Note 34-35.A-kons."}</definedName>
    <definedName name="jjjj" localSheetId="5" hidden="1">{#N/A,#N/A,FALSE,"ResRegn.A-kons.";#N/A,#N/A,FALSE,"Bal3112.A-kons.";#N/A,#N/A,FALSE,"Kont.a.A-kons.";#N/A,#N/A,FALSE,"Kont.a.A-kons.";#N/A,#N/A,FALSE,"Del av Note 9";#N/A,#N/A,FALSE,"Noter Balanse.A-kons.";#N/A,#N/A,FALSE,"Note 18-19.A-kons.";#N/A,#N/A,FALSE,"Note 20-1.A-kons.";#N/A,#N/A,FALSE,"Note 20-2.A-kons.";#N/A,#N/A,FALSE,"Note 21-22-23.A-kons.";#N/A,#N/A,FALSE,"Note 25-28.A-kons.";#N/A,#N/A,FALSE,"Note 23-24.A-kons.";#N/A,#N/A,FALSE,"Kont.a.A-kons.";#N/A,#N/A,FALSE,"Note11-12";#N/A,#N/A,FALSE,"Noter res.regn.A-kons. ";#N/A,#N/A,FALSE,"Note 29-30.A-kons.";#N/A,#N/A,FALSE,"Note 31-33.A-kons.";#N/A,#N/A,FALSE,"Note 34-35.A-kons."}</definedName>
    <definedName name="jjjj" localSheetId="4" hidden="1">{#N/A,#N/A,FALSE,"ResRegn.A-kons.";#N/A,#N/A,FALSE,"Bal3112.A-kons.";#N/A,#N/A,FALSE,"Kont.a.A-kons.";#N/A,#N/A,FALSE,"Kont.a.A-kons.";#N/A,#N/A,FALSE,"Del av Note 9";#N/A,#N/A,FALSE,"Noter Balanse.A-kons.";#N/A,#N/A,FALSE,"Note 18-19.A-kons.";#N/A,#N/A,FALSE,"Note 20-1.A-kons.";#N/A,#N/A,FALSE,"Note 20-2.A-kons.";#N/A,#N/A,FALSE,"Note 21-22-23.A-kons.";#N/A,#N/A,FALSE,"Note 25-28.A-kons.";#N/A,#N/A,FALSE,"Note 23-24.A-kons.";#N/A,#N/A,FALSE,"Kont.a.A-kons.";#N/A,#N/A,FALSE,"Note11-12";#N/A,#N/A,FALSE,"Noter res.regn.A-kons. ";#N/A,#N/A,FALSE,"Note 29-30.A-kons.";#N/A,#N/A,FALSE,"Note 31-33.A-kons.";#N/A,#N/A,FALSE,"Note 34-35.A-kons."}</definedName>
    <definedName name="jjjj" hidden="1">{#N/A,#N/A,FALSE,"ResRegn.A-kons.";#N/A,#N/A,FALSE,"Bal3112.A-kons.";#N/A,#N/A,FALSE,"Kont.a.A-kons.";#N/A,#N/A,FALSE,"Kont.a.A-kons.";#N/A,#N/A,FALSE,"Del av Note 9";#N/A,#N/A,FALSE,"Noter Balanse.A-kons.";#N/A,#N/A,FALSE,"Note 18-19.A-kons.";#N/A,#N/A,FALSE,"Note 20-1.A-kons.";#N/A,#N/A,FALSE,"Note 20-2.A-kons.";#N/A,#N/A,FALSE,"Note 21-22-23.A-kons.";#N/A,#N/A,FALSE,"Note 25-28.A-kons.";#N/A,#N/A,FALSE,"Note 23-24.A-kons.";#N/A,#N/A,FALSE,"Kont.a.A-kons.";#N/A,#N/A,FALSE,"Note11-12";#N/A,#N/A,FALSE,"Noter res.regn.A-kons. ";#N/A,#N/A,FALSE,"Note 29-30.A-kons.";#N/A,#N/A,FALSE,"Note 31-33.A-kons.";#N/A,#N/A,FALSE,"Note 34-35.A-kons."}</definedName>
    <definedName name="jryhjtry" localSheetId="3"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jryhjtry" localSheetId="6"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jryhjtry" localSheetId="7"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jryhjtry" localSheetId="10"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jryhjtry" localSheetId="11"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jryhjtry" localSheetId="5"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jryhjtry" localSheetId="4"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jryhjtry"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jujk" localSheetId="3" hidden="1">{#N/A,#N/A,FALSE,"PCOL"}</definedName>
    <definedName name="jujk" localSheetId="6" hidden="1">{#N/A,#N/A,FALSE,"PCOL"}</definedName>
    <definedName name="jujk" localSheetId="7" hidden="1">{#N/A,#N/A,FALSE,"PCOL"}</definedName>
    <definedName name="jujk" localSheetId="10" hidden="1">{#N/A,#N/A,FALSE,"PCOL"}</definedName>
    <definedName name="jujk" localSheetId="11" hidden="1">{#N/A,#N/A,FALSE,"PCOL"}</definedName>
    <definedName name="jujk" localSheetId="5" hidden="1">{#N/A,#N/A,FALSE,"PCOL"}</definedName>
    <definedName name="jujk" localSheetId="4" hidden="1">{#N/A,#N/A,FALSE,"PCOL"}</definedName>
    <definedName name="jujk" hidden="1">{#N/A,#N/A,FALSE,"PCOL"}</definedName>
    <definedName name="JUJU" localSheetId="3" hidden="1">{#N/A,#N/A,TRUE,"forside";#N/A,#N/A,TRUE,"Res_AOGT";#N/A,#N/A,TRUE,"Bal_AOGT";#N/A,#N/A,TRUE,"Kont_AOGT";#N/A,#N/A,TRUE,"Note 1-5";#N/A,#N/A,TRUE,"Note 6-9";#N/A,#N/A,TRUE,"Bal_note10-14";#N/A,#N/A,TRUE,"Note 15-16";#N/A,#N/A,TRUE,"Note 17-19";#N/A,#N/A,TRUE,"Note 19 forts.";#N/A,#N/A,TRUE,"Note 20-23";#N/A,#N/A,TRUE,"Nøkkeltall"}</definedName>
    <definedName name="JUJU" localSheetId="6" hidden="1">{#N/A,#N/A,TRUE,"forside";#N/A,#N/A,TRUE,"Res_AOGT";#N/A,#N/A,TRUE,"Bal_AOGT";#N/A,#N/A,TRUE,"Kont_AOGT";#N/A,#N/A,TRUE,"Note 1-5";#N/A,#N/A,TRUE,"Note 6-9";#N/A,#N/A,TRUE,"Bal_note10-14";#N/A,#N/A,TRUE,"Note 15-16";#N/A,#N/A,TRUE,"Note 17-19";#N/A,#N/A,TRUE,"Note 19 forts.";#N/A,#N/A,TRUE,"Note 20-23";#N/A,#N/A,TRUE,"Nøkkeltall"}</definedName>
    <definedName name="JUJU" localSheetId="7" hidden="1">{#N/A,#N/A,TRUE,"forside";#N/A,#N/A,TRUE,"Res_AOGT";#N/A,#N/A,TRUE,"Bal_AOGT";#N/A,#N/A,TRUE,"Kont_AOGT";#N/A,#N/A,TRUE,"Note 1-5";#N/A,#N/A,TRUE,"Note 6-9";#N/A,#N/A,TRUE,"Bal_note10-14";#N/A,#N/A,TRUE,"Note 15-16";#N/A,#N/A,TRUE,"Note 17-19";#N/A,#N/A,TRUE,"Note 19 forts.";#N/A,#N/A,TRUE,"Note 20-23";#N/A,#N/A,TRUE,"Nøkkeltall"}</definedName>
    <definedName name="JUJU" localSheetId="10" hidden="1">{#N/A,#N/A,TRUE,"forside";#N/A,#N/A,TRUE,"Res_AOGT";#N/A,#N/A,TRUE,"Bal_AOGT";#N/A,#N/A,TRUE,"Kont_AOGT";#N/A,#N/A,TRUE,"Note 1-5";#N/A,#N/A,TRUE,"Note 6-9";#N/A,#N/A,TRUE,"Bal_note10-14";#N/A,#N/A,TRUE,"Note 15-16";#N/A,#N/A,TRUE,"Note 17-19";#N/A,#N/A,TRUE,"Note 19 forts.";#N/A,#N/A,TRUE,"Note 20-23";#N/A,#N/A,TRUE,"Nøkkeltall"}</definedName>
    <definedName name="JUJU" localSheetId="11" hidden="1">{#N/A,#N/A,TRUE,"forside";#N/A,#N/A,TRUE,"Res_AOGT";#N/A,#N/A,TRUE,"Bal_AOGT";#N/A,#N/A,TRUE,"Kont_AOGT";#N/A,#N/A,TRUE,"Note 1-5";#N/A,#N/A,TRUE,"Note 6-9";#N/A,#N/A,TRUE,"Bal_note10-14";#N/A,#N/A,TRUE,"Note 15-16";#N/A,#N/A,TRUE,"Note 17-19";#N/A,#N/A,TRUE,"Note 19 forts.";#N/A,#N/A,TRUE,"Note 20-23";#N/A,#N/A,TRUE,"Nøkkeltall"}</definedName>
    <definedName name="JUJU" localSheetId="5" hidden="1">{#N/A,#N/A,TRUE,"forside";#N/A,#N/A,TRUE,"Res_AOGT";#N/A,#N/A,TRUE,"Bal_AOGT";#N/A,#N/A,TRUE,"Kont_AOGT";#N/A,#N/A,TRUE,"Note 1-5";#N/A,#N/A,TRUE,"Note 6-9";#N/A,#N/A,TRUE,"Bal_note10-14";#N/A,#N/A,TRUE,"Note 15-16";#N/A,#N/A,TRUE,"Note 17-19";#N/A,#N/A,TRUE,"Note 19 forts.";#N/A,#N/A,TRUE,"Note 20-23";#N/A,#N/A,TRUE,"Nøkkeltall"}</definedName>
    <definedName name="JUJU" localSheetId="4" hidden="1">{#N/A,#N/A,TRUE,"forside";#N/A,#N/A,TRUE,"Res_AOGT";#N/A,#N/A,TRUE,"Bal_AOGT";#N/A,#N/A,TRUE,"Kont_AOGT";#N/A,#N/A,TRUE,"Note 1-5";#N/A,#N/A,TRUE,"Note 6-9";#N/A,#N/A,TRUE,"Bal_note10-14";#N/A,#N/A,TRUE,"Note 15-16";#N/A,#N/A,TRUE,"Note 17-19";#N/A,#N/A,TRUE,"Note 19 forts.";#N/A,#N/A,TRUE,"Note 20-23";#N/A,#N/A,TRUE,"Nøkkeltall"}</definedName>
    <definedName name="JUJU" hidden="1">{#N/A,#N/A,TRUE,"forside";#N/A,#N/A,TRUE,"Res_AOGT";#N/A,#N/A,TRUE,"Bal_AOGT";#N/A,#N/A,TRUE,"Kont_AOGT";#N/A,#N/A,TRUE,"Note 1-5";#N/A,#N/A,TRUE,"Note 6-9";#N/A,#N/A,TRUE,"Bal_note10-14";#N/A,#N/A,TRUE,"Note 15-16";#N/A,#N/A,TRUE,"Note 17-19";#N/A,#N/A,TRUE,"Note 19 forts.";#N/A,#N/A,TRUE,"Note 20-23";#N/A,#N/A,TRUE,"Nøkkeltall"}</definedName>
    <definedName name="Julio" localSheetId="3" hidden="1">{"'CptDifn'!$AA$32:$AG$32"}</definedName>
    <definedName name="Julio" localSheetId="6" hidden="1">{"'CptDifn'!$AA$32:$AG$32"}</definedName>
    <definedName name="Julio" localSheetId="7" hidden="1">{"'CptDifn'!$AA$32:$AG$32"}</definedName>
    <definedName name="Julio" localSheetId="10" hidden="1">{"'CptDifn'!$AA$32:$AG$32"}</definedName>
    <definedName name="Julio" localSheetId="11" hidden="1">{"'CptDifn'!$AA$32:$AG$32"}</definedName>
    <definedName name="Julio" localSheetId="5" hidden="1">{"'CptDifn'!$AA$32:$AG$32"}</definedName>
    <definedName name="Julio" localSheetId="4" hidden="1">{"'CptDifn'!$AA$32:$AG$32"}</definedName>
    <definedName name="Julio" hidden="1">{"'CptDifn'!$AA$32:$AG$32"}</definedName>
    <definedName name="jythjty" localSheetId="3"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jythjty" localSheetId="6"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jythjty" localSheetId="7"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jythjty" localSheetId="10"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jythjty" localSheetId="11"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jythjty" localSheetId="5"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jythjty" localSheetId="4"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jythjty"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k" localSheetId="3" hidden="1">#REF!</definedName>
    <definedName name="k" localSheetId="6" hidden="1">#REF!</definedName>
    <definedName name="k" localSheetId="7" hidden="1">#REF!</definedName>
    <definedName name="k" localSheetId="10" hidden="1">#REF!</definedName>
    <definedName name="k" localSheetId="11" hidden="1">#REF!</definedName>
    <definedName name="k" hidden="1">#REF!</definedName>
    <definedName name="KDFJA" localSheetId="3"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KDFJA" localSheetId="6"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KDFJA" localSheetId="7"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KDFJA" localSheetId="10"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KDFJA" localSheetId="11"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KDFJA" localSheetId="5"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KDFJA" localSheetId="4"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KDFJA"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kf" localSheetId="3" hidden="1">{"VENTAS1",#N/A,FALSE,"VENTAS";"VENTAS2",#N/A,FALSE,"VENTAS";"VENTAS3",#N/A,FALSE,"VENTAS";"VENTAS4",#N/A,FALSE,"VENTAS";"VENTAS5",#N/A,FALSE,"VENTAS";"VENTAS6",#N/A,FALSE,"VENTAS";"VENTAS7",#N/A,FALSE,"VENTAS";"VENTAS8",#N/A,FALSE,"VENTAS"}</definedName>
    <definedName name="kf" localSheetId="6" hidden="1">{"VENTAS1",#N/A,FALSE,"VENTAS";"VENTAS2",#N/A,FALSE,"VENTAS";"VENTAS3",#N/A,FALSE,"VENTAS";"VENTAS4",#N/A,FALSE,"VENTAS";"VENTAS5",#N/A,FALSE,"VENTAS";"VENTAS6",#N/A,FALSE,"VENTAS";"VENTAS7",#N/A,FALSE,"VENTAS";"VENTAS8",#N/A,FALSE,"VENTAS"}</definedName>
    <definedName name="kf" localSheetId="7" hidden="1">{"VENTAS1",#N/A,FALSE,"VENTAS";"VENTAS2",#N/A,FALSE,"VENTAS";"VENTAS3",#N/A,FALSE,"VENTAS";"VENTAS4",#N/A,FALSE,"VENTAS";"VENTAS5",#N/A,FALSE,"VENTAS";"VENTAS6",#N/A,FALSE,"VENTAS";"VENTAS7",#N/A,FALSE,"VENTAS";"VENTAS8",#N/A,FALSE,"VENTAS"}</definedName>
    <definedName name="kf" localSheetId="10" hidden="1">{"VENTAS1",#N/A,FALSE,"VENTAS";"VENTAS2",#N/A,FALSE,"VENTAS";"VENTAS3",#N/A,FALSE,"VENTAS";"VENTAS4",#N/A,FALSE,"VENTAS";"VENTAS5",#N/A,FALSE,"VENTAS";"VENTAS6",#N/A,FALSE,"VENTAS";"VENTAS7",#N/A,FALSE,"VENTAS";"VENTAS8",#N/A,FALSE,"VENTAS"}</definedName>
    <definedName name="kf" localSheetId="11" hidden="1">{"VENTAS1",#N/A,FALSE,"VENTAS";"VENTAS2",#N/A,FALSE,"VENTAS";"VENTAS3",#N/A,FALSE,"VENTAS";"VENTAS4",#N/A,FALSE,"VENTAS";"VENTAS5",#N/A,FALSE,"VENTAS";"VENTAS6",#N/A,FALSE,"VENTAS";"VENTAS7",#N/A,FALSE,"VENTAS";"VENTAS8",#N/A,FALSE,"VENTAS"}</definedName>
    <definedName name="kf" localSheetId="5" hidden="1">{"VENTAS1",#N/A,FALSE,"VENTAS";"VENTAS2",#N/A,FALSE,"VENTAS";"VENTAS3",#N/A,FALSE,"VENTAS";"VENTAS4",#N/A,FALSE,"VENTAS";"VENTAS5",#N/A,FALSE,"VENTAS";"VENTAS6",#N/A,FALSE,"VENTAS";"VENTAS7",#N/A,FALSE,"VENTAS";"VENTAS8",#N/A,FALSE,"VENTAS"}</definedName>
    <definedName name="kf" localSheetId="4" hidden="1">{"VENTAS1",#N/A,FALSE,"VENTAS";"VENTAS2",#N/A,FALSE,"VENTAS";"VENTAS3",#N/A,FALSE,"VENTAS";"VENTAS4",#N/A,FALSE,"VENTAS";"VENTAS5",#N/A,FALSE,"VENTAS";"VENTAS6",#N/A,FALSE,"VENTAS";"VENTAS7",#N/A,FALSE,"VENTAS";"VENTAS8",#N/A,FALSE,"VENTAS"}</definedName>
    <definedName name="kf" localSheetId="1" hidden="1">{"VENTAS1",#N/A,FALSE,"VENTAS";"VENTAS2",#N/A,FALSE,"VENTAS";"VENTAS3",#N/A,FALSE,"VENTAS";"VENTAS4",#N/A,FALSE,"VENTAS";"VENTAS5",#N/A,FALSE,"VENTAS";"VENTAS6",#N/A,FALSE,"VENTAS";"VENTAS7",#N/A,FALSE,"VENTAS";"VENTAS8",#N/A,FALSE,"VENTAS"}</definedName>
    <definedName name="kf" localSheetId="2" hidden="1">{"VENTAS1",#N/A,FALSE,"VENTAS";"VENTAS2",#N/A,FALSE,"VENTAS";"VENTAS3",#N/A,FALSE,"VENTAS";"VENTAS4",#N/A,FALSE,"VENTAS";"VENTAS5",#N/A,FALSE,"VENTAS";"VENTAS6",#N/A,FALSE,"VENTAS";"VENTAS7",#N/A,FALSE,"VENTAS";"VENTAS8",#N/A,FALSE,"VENTAS"}</definedName>
    <definedName name="kf" hidden="1">{"VENTAS1",#N/A,FALSE,"VENTAS";"VENTAS2",#N/A,FALSE,"VENTAS";"VENTAS3",#N/A,FALSE,"VENTAS";"VENTAS4",#N/A,FALSE,"VENTAS";"VENTAS5",#N/A,FALSE,"VENTAS";"VENTAS6",#N/A,FALSE,"VENTAS";"VENTAS7",#N/A,FALSE,"VENTAS";"VENTAS8",#N/A,FALSE,"VENTAS"}</definedName>
    <definedName name="khtykfh" localSheetId="3"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khtykfh" localSheetId="6"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khtykfh" localSheetId="7"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khtykfh" localSheetId="10"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khtykfh" localSheetId="11"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khtykfh" localSheetId="5"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khtykfh" localSheetId="4"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khtykfh"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kiuy" localSheetId="3"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kiuy" localSheetId="6"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kiuy" localSheetId="7"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kiuy" localSheetId="10"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kiuy" localSheetId="11"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kiuy" localSheetId="5"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kiuy" localSheetId="4"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kiuy"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kjhgjk" localSheetId="3" hidden="1">{"'gráf jan00'!$A$1:$AK$41"}</definedName>
    <definedName name="kjhgjk" localSheetId="6" hidden="1">{"'gráf jan00'!$A$1:$AK$41"}</definedName>
    <definedName name="kjhgjk" localSheetId="7" hidden="1">{"'gráf jan00'!$A$1:$AK$41"}</definedName>
    <definedName name="kjhgjk" localSheetId="10" hidden="1">{"'gráf jan00'!$A$1:$AK$41"}</definedName>
    <definedName name="kjhgjk" localSheetId="11" hidden="1">{"'gráf jan00'!$A$1:$AK$41"}</definedName>
    <definedName name="kjhgjk" localSheetId="5" hidden="1">{"'gráf jan00'!$A$1:$AK$41"}</definedName>
    <definedName name="kjhgjk" localSheetId="4" hidden="1">{"'gráf jan00'!$A$1:$AK$41"}</definedName>
    <definedName name="kjhgjk" hidden="1">{"'gráf jan00'!$A$1:$AK$41"}</definedName>
    <definedName name="kjkhjkh" localSheetId="3"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kjkhjkh" localSheetId="6"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kjkhjkh" localSheetId="7"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kjkhjkh" localSheetId="10"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kjkhjkh" localSheetId="1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kjkhjkh" localSheetId="5"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kjkhjkh" localSheetId="4"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kjkhjkh" localSheetId="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kjkhjkh" localSheetId="2"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kjkhjkh"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kkkk" localSheetId="3" hidden="1">{#N/A,#N/A,FALSE,"PCOL"}</definedName>
    <definedName name="kkkk" localSheetId="6" hidden="1">{#N/A,#N/A,FALSE,"PCOL"}</definedName>
    <definedName name="kkkk" localSheetId="7" hidden="1">{#N/A,#N/A,FALSE,"PCOL"}</definedName>
    <definedName name="kkkk" localSheetId="10" hidden="1">{#N/A,#N/A,FALSE,"PCOL"}</definedName>
    <definedName name="kkkk" localSheetId="11" hidden="1">{#N/A,#N/A,FALSE,"PCOL"}</definedName>
    <definedName name="kkkk" localSheetId="5" hidden="1">{#N/A,#N/A,FALSE,"PCOL"}</definedName>
    <definedName name="kkkk" localSheetId="4" hidden="1">{#N/A,#N/A,FALSE,"PCOL"}</definedName>
    <definedName name="kkkk" hidden="1">{#N/A,#N/A,FALSE,"PCOL"}</definedName>
    <definedName name="ko" localSheetId="3" hidden="1">{#N/A,#N/A,FALSE,"PCOL"}</definedName>
    <definedName name="ko" localSheetId="6" hidden="1">{#N/A,#N/A,FALSE,"PCOL"}</definedName>
    <definedName name="ko" localSheetId="7" hidden="1">{#N/A,#N/A,FALSE,"PCOL"}</definedName>
    <definedName name="ko" localSheetId="10" hidden="1">{#N/A,#N/A,FALSE,"PCOL"}</definedName>
    <definedName name="ko" localSheetId="11" hidden="1">{#N/A,#N/A,FALSE,"PCOL"}</definedName>
    <definedName name="ko" localSheetId="5" hidden="1">{#N/A,#N/A,FALSE,"PCOL"}</definedName>
    <definedName name="ko" localSheetId="4" hidden="1">{#N/A,#N/A,FALSE,"PCOL"}</definedName>
    <definedName name="ko" hidden="1">{#N/A,#N/A,FALSE,"PCOL"}</definedName>
    <definedName name="lab" localSheetId="3" hidden="1">{"'gráf jan00'!$A$1:$AK$41"}</definedName>
    <definedName name="lab" localSheetId="6" hidden="1">{"'gráf jan00'!$A$1:$AK$41"}</definedName>
    <definedName name="lab" localSheetId="7" hidden="1">{"'gráf jan00'!$A$1:$AK$41"}</definedName>
    <definedName name="lab" localSheetId="10" hidden="1">{"'gráf jan00'!$A$1:$AK$41"}</definedName>
    <definedName name="lab" localSheetId="11" hidden="1">{"'gráf jan00'!$A$1:$AK$41"}</definedName>
    <definedName name="lab" localSheetId="5" hidden="1">{"'gráf jan00'!$A$1:$AK$41"}</definedName>
    <definedName name="lab" localSheetId="4" hidden="1">{"'gráf jan00'!$A$1:$AK$41"}</definedName>
    <definedName name="lab" hidden="1">{"'gráf jan00'!$A$1:$AK$41"}</definedName>
    <definedName name="LAPEL" localSheetId="3" hidden="1">{"'RR'!$A$2:$E$81"}</definedName>
    <definedName name="LAPEL" localSheetId="6" hidden="1">{"'RR'!$A$2:$E$81"}</definedName>
    <definedName name="LAPEL" localSheetId="7" hidden="1">{"'RR'!$A$2:$E$81"}</definedName>
    <definedName name="LAPEL" localSheetId="10" hidden="1">{"'RR'!$A$2:$E$81"}</definedName>
    <definedName name="LAPEL" localSheetId="11" hidden="1">{"'RR'!$A$2:$E$81"}</definedName>
    <definedName name="LAPEL" localSheetId="5" hidden="1">{"'RR'!$A$2:$E$81"}</definedName>
    <definedName name="LAPEL" localSheetId="4" hidden="1">{"'RR'!$A$2:$E$81"}</definedName>
    <definedName name="LAPEL" hidden="1">{"'RR'!$A$2:$E$81"}</definedName>
    <definedName name="leo" localSheetId="3" hidden="1">{"'CptDifn'!$AA$32:$AG$32"}</definedName>
    <definedName name="leo" localSheetId="6" hidden="1">{"'CptDifn'!$AA$32:$AG$32"}</definedName>
    <definedName name="leo" localSheetId="7" hidden="1">{"'CptDifn'!$AA$32:$AG$32"}</definedName>
    <definedName name="leo" localSheetId="10" hidden="1">{"'CptDifn'!$AA$32:$AG$32"}</definedName>
    <definedName name="leo" localSheetId="11" hidden="1">{"'CptDifn'!$AA$32:$AG$32"}</definedName>
    <definedName name="leo" localSheetId="5" hidden="1">{"'CptDifn'!$AA$32:$AG$32"}</definedName>
    <definedName name="leo" localSheetId="4" hidden="1">{"'CptDifn'!$AA$32:$AG$32"}</definedName>
    <definedName name="leo" hidden="1">{"'CptDifn'!$AA$32:$AG$32"}</definedName>
    <definedName name="leonardo" localSheetId="3" hidden="1">{"'gráf jan00'!$A$1:$AK$41"}</definedName>
    <definedName name="leonardo" localSheetId="6" hidden="1">{"'gráf jan00'!$A$1:$AK$41"}</definedName>
    <definedName name="leonardo" localSheetId="7" hidden="1">{"'gráf jan00'!$A$1:$AK$41"}</definedName>
    <definedName name="leonardo" localSheetId="10" hidden="1">{"'gráf jan00'!$A$1:$AK$41"}</definedName>
    <definedName name="leonardo" localSheetId="11" hidden="1">{"'gráf jan00'!$A$1:$AK$41"}</definedName>
    <definedName name="leonardo" localSheetId="5" hidden="1">{"'gráf jan00'!$A$1:$AK$41"}</definedName>
    <definedName name="leonardo" localSheetId="4" hidden="1">{"'gráf jan00'!$A$1:$AK$41"}</definedName>
    <definedName name="leonardo" hidden="1">{"'gráf jan00'!$A$1:$AK$41"}</definedName>
    <definedName name="Leste" localSheetId="3"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Leste" localSheetId="6"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Leste" localSheetId="7"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Leste" localSheetId="10"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Leste" localSheetId="1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Leste" localSheetId="5"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Leste" localSheetId="4"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Leste" localSheetId="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Leste" localSheetId="2"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Leste"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let" hidden="1">"Quadro Logistico Maio"</definedName>
    <definedName name="limcount" localSheetId="3" hidden="1">1</definedName>
    <definedName name="limcount" localSheetId="6" hidden="1">1</definedName>
    <definedName name="limcount" localSheetId="7" hidden="1">1</definedName>
    <definedName name="limcount" localSheetId="10" hidden="1">1</definedName>
    <definedName name="limcount" localSheetId="11" hidden="1">1</definedName>
    <definedName name="limcount" localSheetId="5" hidden="1">1</definedName>
    <definedName name="limcount" localSheetId="4" hidden="1">1</definedName>
    <definedName name="limcount" hidden="1">2</definedName>
    <definedName name="lixo" localSheetId="3" hidden="1">{#N/A,#N/A,FALSE,"GERAL";#N/A,#N/A,FALSE,"012-96";#N/A,#N/A,FALSE,"018-96";#N/A,#N/A,FALSE,"027-96";#N/A,#N/A,FALSE,"059-96";#N/A,#N/A,FALSE,"076-96";#N/A,#N/A,FALSE,"019-97";#N/A,#N/A,FALSE,"021-97";#N/A,#N/A,FALSE,"022-97";#N/A,#N/A,FALSE,"028-97"}</definedName>
    <definedName name="lixo" localSheetId="6" hidden="1">{#N/A,#N/A,FALSE,"GERAL";#N/A,#N/A,FALSE,"012-96";#N/A,#N/A,FALSE,"018-96";#N/A,#N/A,FALSE,"027-96";#N/A,#N/A,FALSE,"059-96";#N/A,#N/A,FALSE,"076-96";#N/A,#N/A,FALSE,"019-97";#N/A,#N/A,FALSE,"021-97";#N/A,#N/A,FALSE,"022-97";#N/A,#N/A,FALSE,"028-97"}</definedName>
    <definedName name="lixo" localSheetId="7" hidden="1">{#N/A,#N/A,FALSE,"GERAL";#N/A,#N/A,FALSE,"012-96";#N/A,#N/A,FALSE,"018-96";#N/A,#N/A,FALSE,"027-96";#N/A,#N/A,FALSE,"059-96";#N/A,#N/A,FALSE,"076-96";#N/A,#N/A,FALSE,"019-97";#N/A,#N/A,FALSE,"021-97";#N/A,#N/A,FALSE,"022-97";#N/A,#N/A,FALSE,"028-97"}</definedName>
    <definedName name="lixo" localSheetId="10" hidden="1">{#N/A,#N/A,FALSE,"GERAL";#N/A,#N/A,FALSE,"012-96";#N/A,#N/A,FALSE,"018-96";#N/A,#N/A,FALSE,"027-96";#N/A,#N/A,FALSE,"059-96";#N/A,#N/A,FALSE,"076-96";#N/A,#N/A,FALSE,"019-97";#N/A,#N/A,FALSE,"021-97";#N/A,#N/A,FALSE,"022-97";#N/A,#N/A,FALSE,"028-97"}</definedName>
    <definedName name="lixo" localSheetId="11" hidden="1">{#N/A,#N/A,FALSE,"GERAL";#N/A,#N/A,FALSE,"012-96";#N/A,#N/A,FALSE,"018-96";#N/A,#N/A,FALSE,"027-96";#N/A,#N/A,FALSE,"059-96";#N/A,#N/A,FALSE,"076-96";#N/A,#N/A,FALSE,"019-97";#N/A,#N/A,FALSE,"021-97";#N/A,#N/A,FALSE,"022-97";#N/A,#N/A,FALSE,"028-97"}</definedName>
    <definedName name="lixo" localSheetId="5" hidden="1">{#N/A,#N/A,FALSE,"GERAL";#N/A,#N/A,FALSE,"012-96";#N/A,#N/A,FALSE,"018-96";#N/A,#N/A,FALSE,"027-96";#N/A,#N/A,FALSE,"059-96";#N/A,#N/A,FALSE,"076-96";#N/A,#N/A,FALSE,"019-97";#N/A,#N/A,FALSE,"021-97";#N/A,#N/A,FALSE,"022-97";#N/A,#N/A,FALSE,"028-97"}</definedName>
    <definedName name="lixo" localSheetId="4" hidden="1">{#N/A,#N/A,FALSE,"GERAL";#N/A,#N/A,FALSE,"012-96";#N/A,#N/A,FALSE,"018-96";#N/A,#N/A,FALSE,"027-96";#N/A,#N/A,FALSE,"059-96";#N/A,#N/A,FALSE,"076-96";#N/A,#N/A,FALSE,"019-97";#N/A,#N/A,FALSE,"021-97";#N/A,#N/A,FALSE,"022-97";#N/A,#N/A,FALSE,"028-97"}</definedName>
    <definedName name="lixo" hidden="1">{#N/A,#N/A,FALSE,"GERAL";#N/A,#N/A,FALSE,"012-96";#N/A,#N/A,FALSE,"018-96";#N/A,#N/A,FALSE,"027-96";#N/A,#N/A,FALSE,"059-96";#N/A,#N/A,FALSE,"076-96";#N/A,#N/A,FALSE,"019-97";#N/A,#N/A,FALSE,"021-97";#N/A,#N/A,FALSE,"022-97";#N/A,#N/A,FALSE,"028-97"}</definedName>
    <definedName name="LKJ" localSheetId="3" hidden="1">{"'Quadro'!$A$4:$BG$78"}</definedName>
    <definedName name="LKJ" localSheetId="6" hidden="1">{"'Quadro'!$A$4:$BG$78"}</definedName>
    <definedName name="LKJ" localSheetId="7" hidden="1">{"'Quadro'!$A$4:$BG$78"}</definedName>
    <definedName name="LKJ" localSheetId="10" hidden="1">{"'Quadro'!$A$4:$BG$78"}</definedName>
    <definedName name="LKJ" localSheetId="11" hidden="1">{"'Quadro'!$A$4:$BG$78"}</definedName>
    <definedName name="LKJ" localSheetId="5" hidden="1">{"'Quadro'!$A$4:$BG$78"}</definedName>
    <definedName name="LKJ" localSheetId="4" hidden="1">{"'Quadro'!$A$4:$BG$78"}</definedName>
    <definedName name="LKJ" hidden="1">{"'Quadro'!$A$4:$BG$78"}</definedName>
    <definedName name="ll" localSheetId="3"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ll" localSheetId="6"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ll" localSheetId="7"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ll" localSheetId="10"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ll" localSheetId="1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ll" localSheetId="5"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ll" localSheetId="4"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ll" localSheetId="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ll" localSheetId="2"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ll"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LoteBonito2" localSheetId="3" hidden="1">{"'Resumo2'!$B$2:$J$23"}</definedName>
    <definedName name="LoteBonito2" localSheetId="6" hidden="1">{"'Resumo2'!$B$2:$J$23"}</definedName>
    <definedName name="LoteBonito2" localSheetId="7" hidden="1">{"'Resumo2'!$B$2:$J$23"}</definedName>
    <definedName name="LoteBonito2" localSheetId="10" hidden="1">{"'Resumo2'!$B$2:$J$23"}</definedName>
    <definedName name="LoteBonito2" localSheetId="11" hidden="1">{"'Resumo2'!$B$2:$J$23"}</definedName>
    <definedName name="LoteBonito2" localSheetId="5" hidden="1">{"'Resumo2'!$B$2:$J$23"}</definedName>
    <definedName name="LoteBonito2" localSheetId="4" hidden="1">{"'Resumo2'!$B$2:$J$23"}</definedName>
    <definedName name="LoteBonito2" hidden="1">{"'Resumo2'!$B$2:$J$23"}</definedName>
    <definedName name="LU" localSheetId="3" hidden="1">{"'gráf jan00'!$A$1:$AK$41"}</definedName>
    <definedName name="LU" localSheetId="6" hidden="1">{"'gráf jan00'!$A$1:$AK$41"}</definedName>
    <definedName name="LU" localSheetId="7" hidden="1">{"'gráf jan00'!$A$1:$AK$41"}</definedName>
    <definedName name="LU" localSheetId="10" hidden="1">{"'gráf jan00'!$A$1:$AK$41"}</definedName>
    <definedName name="LU" localSheetId="11" hidden="1">{"'gráf jan00'!$A$1:$AK$41"}</definedName>
    <definedName name="LU" localSheetId="5" hidden="1">{"'gráf jan00'!$A$1:$AK$41"}</definedName>
    <definedName name="LU" localSheetId="4" hidden="1">{"'gráf jan00'!$A$1:$AK$41"}</definedName>
    <definedName name="LU" hidden="1">{"'gráf jan00'!$A$1:$AK$41"}</definedName>
    <definedName name="luis" localSheetId="3" hidden="1">{"'Plan1 (2)'!$A$5:$F$63"}</definedName>
    <definedName name="luis" localSheetId="6" hidden="1">{"'Plan1 (2)'!$A$5:$F$63"}</definedName>
    <definedName name="luis" localSheetId="7" hidden="1">{"'Plan1 (2)'!$A$5:$F$63"}</definedName>
    <definedName name="luis" localSheetId="10" hidden="1">{"'Plan1 (2)'!$A$5:$F$63"}</definedName>
    <definedName name="luis" localSheetId="11" hidden="1">{"'Plan1 (2)'!$A$5:$F$63"}</definedName>
    <definedName name="luis" localSheetId="5" hidden="1">{"'Plan1 (2)'!$A$5:$F$63"}</definedName>
    <definedName name="luis" localSheetId="4" hidden="1">{"'Plan1 (2)'!$A$5:$F$63"}</definedName>
    <definedName name="luis" hidden="1">{"'Plan1 (2)'!$A$5:$F$63"}</definedName>
    <definedName name="M_C">[19]PainelControle!$R$82</definedName>
    <definedName name="M_O">[19]PainelControle!$R$83</definedName>
    <definedName name="man" localSheetId="3" hidden="1">{"'gráf jan00'!$A$1:$AK$41"}</definedName>
    <definedName name="man" localSheetId="6" hidden="1">{"'gráf jan00'!$A$1:$AK$41"}</definedName>
    <definedName name="man" localSheetId="7" hidden="1">{"'gráf jan00'!$A$1:$AK$41"}</definedName>
    <definedName name="man" localSheetId="10" hidden="1">{"'gráf jan00'!$A$1:$AK$41"}</definedName>
    <definedName name="man" localSheetId="11" hidden="1">{"'gráf jan00'!$A$1:$AK$41"}</definedName>
    <definedName name="man" localSheetId="5" hidden="1">{"'gráf jan00'!$A$1:$AK$41"}</definedName>
    <definedName name="man" localSheetId="4" hidden="1">{"'gráf jan00'!$A$1:$AK$41"}</definedName>
    <definedName name="man" hidden="1">{"'gráf jan00'!$A$1:$AK$41"}</definedName>
    <definedName name="Manoel" localSheetId="3" hidden="1">{"'Quadro'!$A$4:$BG$78"}</definedName>
    <definedName name="Manoel" localSheetId="6" hidden="1">{"'Quadro'!$A$4:$BG$78"}</definedName>
    <definedName name="Manoel" localSheetId="7" hidden="1">{"'Quadro'!$A$4:$BG$78"}</definedName>
    <definedName name="Manoel" localSheetId="10" hidden="1">{"'Quadro'!$A$4:$BG$78"}</definedName>
    <definedName name="Manoel" localSheetId="11" hidden="1">{"'Quadro'!$A$4:$BG$78"}</definedName>
    <definedName name="Manoel" localSheetId="5" hidden="1">{"'Quadro'!$A$4:$BG$78"}</definedName>
    <definedName name="Manoel" localSheetId="4" hidden="1">{"'Quadro'!$A$4:$BG$78"}</definedName>
    <definedName name="Manoel" hidden="1">{"'Quadro'!$A$4:$BG$78"}</definedName>
    <definedName name="manut" localSheetId="3" hidden="1">{"'gráf jan00'!$A$1:$AK$41"}</definedName>
    <definedName name="manut" localSheetId="6" hidden="1">{"'gráf jan00'!$A$1:$AK$41"}</definedName>
    <definedName name="manut" localSheetId="7" hidden="1">{"'gráf jan00'!$A$1:$AK$41"}</definedName>
    <definedName name="manut" localSheetId="10" hidden="1">{"'gráf jan00'!$A$1:$AK$41"}</definedName>
    <definedName name="manut" localSheetId="11" hidden="1">{"'gráf jan00'!$A$1:$AK$41"}</definedName>
    <definedName name="manut" localSheetId="5" hidden="1">{"'gráf jan00'!$A$1:$AK$41"}</definedName>
    <definedName name="manut" localSheetId="4" hidden="1">{"'gráf jan00'!$A$1:$AK$41"}</definedName>
    <definedName name="manut" hidden="1">{"'gráf jan00'!$A$1:$AK$41"}</definedName>
    <definedName name="marcelo" localSheetId="3" hidden="1">{"'gráf jan00'!$A$1:$AK$41"}</definedName>
    <definedName name="marcelo" localSheetId="6" hidden="1">{"'gráf jan00'!$A$1:$AK$41"}</definedName>
    <definedName name="marcelo" localSheetId="7" hidden="1">{"'gráf jan00'!$A$1:$AK$41"}</definedName>
    <definedName name="marcelo" localSheetId="10" hidden="1">{"'gráf jan00'!$A$1:$AK$41"}</definedName>
    <definedName name="marcelo" localSheetId="11" hidden="1">{"'gráf jan00'!$A$1:$AK$41"}</definedName>
    <definedName name="marcelo" localSheetId="5" hidden="1">{"'gráf jan00'!$A$1:$AK$41"}</definedName>
    <definedName name="marcelo" localSheetId="4" hidden="1">{"'gráf jan00'!$A$1:$AK$41"}</definedName>
    <definedName name="marcelo" hidden="1">{"'gráf jan00'!$A$1:$AK$41"}</definedName>
    <definedName name="Marcio_1" localSheetId="3" hidden="1">[17]!Header1-1 &amp; "." &amp; MAX(1,COUNTA(INDEX(#REF!,MATCH([17]!Header1-1,#REF!,FALSE)):#REF!))</definedName>
    <definedName name="Marcio_1" localSheetId="6" hidden="1">[17]!Header1-1 &amp; "." &amp; MAX(1,COUNTA(INDEX(#REF!,MATCH([17]!Header1-1,#REF!,FALSE)):#REF!))</definedName>
    <definedName name="Marcio_1" localSheetId="7" hidden="1">[17]!Header1-1 &amp; "." &amp; MAX(1,COUNTA(INDEX(#REF!,MATCH([17]!Header1-1,#REF!,FALSE)):#REF!))</definedName>
    <definedName name="Marcio_1" localSheetId="10" hidden="1">[17]!Header1-1 &amp; "." &amp; MAX(1,COUNTA(INDEX(#REF!,MATCH([17]!Header1-1,#REF!,FALSE)):#REF!))</definedName>
    <definedName name="Marcio_1" localSheetId="5" hidden="1">[17]!Header1-1 &amp; "." &amp; MAX(1,COUNTA(INDEX(#REF!,MATCH([17]!Header1-1,#REF!,FALSE)):#REF!))</definedName>
    <definedName name="Marcio_1" localSheetId="4" hidden="1">[17]!Header1-1 &amp; "." &amp; MAX(1,COUNTA(INDEX(#REF!,MATCH([17]!Header1-1,#REF!,FALSE)):#REF!))</definedName>
    <definedName name="Marcio_1" hidden="1">[17]!Header1-1 &amp; "." &amp; MAX(1,COUNTA(INDEX(#REF!,MATCH([17]!Header1-1,#REF!,FALSE)):#REF!))</definedName>
    <definedName name="Marcio_2" localSheetId="3" hidden="1">[17]!Header1-1 &amp; "." &amp; MAX(1,COUNTA(INDEX(#REF!,MATCH([17]!Header1-1,#REF!,FALSE)):#REF!))</definedName>
    <definedName name="Marcio_2" localSheetId="6" hidden="1">[17]!Header1-1 &amp; "." &amp; MAX(1,COUNTA(INDEX(#REF!,MATCH([17]!Header1-1,#REF!,FALSE)):#REF!))</definedName>
    <definedName name="Marcio_2" localSheetId="7" hidden="1">[17]!Header1-1 &amp; "." &amp; MAX(1,COUNTA(INDEX(#REF!,MATCH([17]!Header1-1,#REF!,FALSE)):#REF!))</definedName>
    <definedName name="Marcio_2" localSheetId="10" hidden="1">[17]!Header1-1 &amp; "." &amp; MAX(1,COUNTA(INDEX(#REF!,MATCH([17]!Header1-1,#REF!,FALSE)):#REF!))</definedName>
    <definedName name="Marcio_2" localSheetId="5" hidden="1">[17]!Header1-1 &amp; "." &amp; MAX(1,COUNTA(INDEX(#REF!,MATCH([17]!Header1-1,#REF!,FALSE)):#REF!))</definedName>
    <definedName name="Marcio_2" localSheetId="4" hidden="1">[17]!Header1-1 &amp; "." &amp; MAX(1,COUNTA(INDEX(#REF!,MATCH([17]!Header1-1,#REF!,FALSE)):#REF!))</definedName>
    <definedName name="Marcio_2" hidden="1">[17]!Header1-1 &amp; "." &amp; MAX(1,COUNTA(INDEX(#REF!,MATCH([17]!Header1-1,#REF!,FALSE)):#REF!))</definedName>
    <definedName name="Marcio_3" localSheetId="3" hidden="1">[17]!Header1-1 &amp; "." &amp; MAX(1,COUNTA(INDEX(#REF!,MATCH([17]!Header1-1,#REF!,FALSE)):#REF!))</definedName>
    <definedName name="Marcio_3" localSheetId="6" hidden="1">[17]!Header1-1 &amp; "." &amp; MAX(1,COUNTA(INDEX(#REF!,MATCH([17]!Header1-1,#REF!,FALSE)):#REF!))</definedName>
    <definedName name="Marcio_3" localSheetId="7" hidden="1">[17]!Header1-1 &amp; "." &amp; MAX(1,COUNTA(INDEX(#REF!,MATCH([17]!Header1-1,#REF!,FALSE)):#REF!))</definedName>
    <definedName name="Marcio_3" localSheetId="10" hidden="1">[17]!Header1-1 &amp; "." &amp; MAX(1,COUNTA(INDEX(#REF!,MATCH([17]!Header1-1,#REF!,FALSE)):#REF!))</definedName>
    <definedName name="Marcio_3" localSheetId="5" hidden="1">[17]!Header1-1 &amp; "." &amp; MAX(1,COUNTA(INDEX(#REF!,MATCH([17]!Header1-1,#REF!,FALSE)):#REF!))</definedName>
    <definedName name="Marcio_3" localSheetId="4" hidden="1">[17]!Header1-1 &amp; "." &amp; MAX(1,COUNTA(INDEX(#REF!,MATCH([17]!Header1-1,#REF!,FALSE)):#REF!))</definedName>
    <definedName name="Marcio_3" hidden="1">[17]!Header1-1 &amp; "." &amp; MAX(1,COUNTA(INDEX(#REF!,MATCH([17]!Header1-1,#REF!,FALSE)):#REF!))</definedName>
    <definedName name="Marcio_4" localSheetId="3" hidden="1">[17]!Header1-1 &amp; "." &amp; MAX(1,COUNTA(INDEX(#REF!,MATCH([17]!Header1-1,#REF!,FALSE)):#REF!))</definedName>
    <definedName name="Marcio_4" localSheetId="6" hidden="1">[17]!Header1-1 &amp; "." &amp; MAX(1,COUNTA(INDEX(#REF!,MATCH([17]!Header1-1,#REF!,FALSE)):#REF!))</definedName>
    <definedName name="Marcio_4" localSheetId="10" hidden="1">[17]!Header1-1 &amp; "." &amp; MAX(1,COUNTA(INDEX(#REF!,MATCH([17]!Header1-1,#REF!,FALSE)):#REF!))</definedName>
    <definedName name="Marcio_4" localSheetId="5" hidden="1">[17]!Header1-1 &amp; "." &amp; MAX(1,COUNTA(INDEX(#REF!,MATCH([17]!Header1-1,#REF!,FALSE)):#REF!))</definedName>
    <definedName name="Marcio_4" localSheetId="4" hidden="1">[17]!Header1-1 &amp; "." &amp; MAX(1,COUNTA(INDEX(#REF!,MATCH([17]!Header1-1,#REF!,FALSE)):#REF!))</definedName>
    <definedName name="Marcio_4" hidden="1">[17]!Header1-1 &amp; "." &amp; MAX(1,COUNTA(INDEX(#REF!,MATCH([17]!Header1-1,#REF!,FALSE)):#REF!))</definedName>
    <definedName name="Marcio_5" localSheetId="3" hidden="1">[17]!Header1-1 &amp; "." &amp; MAX(1,COUNTA(INDEX(#REF!,MATCH([17]!Header1-1,#REF!,FALSE)):#REF!))</definedName>
    <definedName name="Marcio_5" localSheetId="6" hidden="1">[17]!Header1-1 &amp; "." &amp; MAX(1,COUNTA(INDEX(#REF!,MATCH([17]!Header1-1,#REF!,FALSE)):#REF!))</definedName>
    <definedName name="Marcio_5" localSheetId="10" hidden="1">[17]!Header1-1 &amp; "." &amp; MAX(1,COUNTA(INDEX(#REF!,MATCH([17]!Header1-1,#REF!,FALSE)):#REF!))</definedName>
    <definedName name="Marcio_5" localSheetId="5" hidden="1">[17]!Header1-1 &amp; "." &amp; MAX(1,COUNTA(INDEX(#REF!,MATCH([17]!Header1-1,#REF!,FALSE)):#REF!))</definedName>
    <definedName name="Marcio_5" localSheetId="4" hidden="1">[17]!Header1-1 &amp; "." &amp; MAX(1,COUNTA(INDEX(#REF!,MATCH([17]!Header1-1,#REF!,FALSE)):#REF!))</definedName>
    <definedName name="Marcio_5" hidden="1">[17]!Header1-1 &amp; "." &amp; MAX(1,COUNTA(INDEX(#REF!,MATCH([17]!Header1-1,#REF!,FALSE)):#REF!))</definedName>
    <definedName name="MARIA" localSheetId="3" hidden="1">{"'gráf jan00'!$A$1:$AK$41"}</definedName>
    <definedName name="MARIA" localSheetId="6" hidden="1">{"'gráf jan00'!$A$1:$AK$41"}</definedName>
    <definedName name="MARIA" localSheetId="7" hidden="1">{"'gráf jan00'!$A$1:$AK$41"}</definedName>
    <definedName name="MARIA" localSheetId="10" hidden="1">{"'gráf jan00'!$A$1:$AK$41"}</definedName>
    <definedName name="MARIA" localSheetId="11" hidden="1">{"'gráf jan00'!$A$1:$AK$41"}</definedName>
    <definedName name="MARIA" localSheetId="5" hidden="1">{"'gráf jan00'!$A$1:$AK$41"}</definedName>
    <definedName name="MARIA" localSheetId="4" hidden="1">{"'gráf jan00'!$A$1:$AK$41"}</definedName>
    <definedName name="MARIA" hidden="1">{"'gráf jan00'!$A$1:$AK$41"}</definedName>
    <definedName name="mASTER" localSheetId="3"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mASTER" localSheetId="6"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mASTER" localSheetId="7"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mASTER" localSheetId="10"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mASTER" localSheetId="11"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mASTER" localSheetId="5"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mASTER" localSheetId="4"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mASTER"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MAT" localSheetId="3">#REF!</definedName>
    <definedName name="MAT" localSheetId="6">#REF!</definedName>
    <definedName name="MAT" localSheetId="7">#REF!</definedName>
    <definedName name="MAT" localSheetId="10">#REF!</definedName>
    <definedName name="MAT" localSheetId="11">#REF!</definedName>
    <definedName name="MAT">#REF!</definedName>
    <definedName name="MATCPU">'[11]CPU SICRO'!$AF$6:$AI$2017</definedName>
    <definedName name="mcm" localSheetId="3" hidden="1">{"Pèrdues i Guanys analític.Català",#N/A,FALSE,"Català";"Pèrdues i G. analític.castellà",#N/A,FALSE,"Castellà"}</definedName>
    <definedName name="mcm" localSheetId="6" hidden="1">{"Pèrdues i Guanys analític.Català",#N/A,FALSE,"Català";"Pèrdues i G. analític.castellà",#N/A,FALSE,"Castellà"}</definedName>
    <definedName name="mcm" localSheetId="7" hidden="1">{"Pèrdues i Guanys analític.Català",#N/A,FALSE,"Català";"Pèrdues i G. analític.castellà",#N/A,FALSE,"Castellà"}</definedName>
    <definedName name="mcm" localSheetId="10" hidden="1">{"Pèrdues i Guanys analític.Català",#N/A,FALSE,"Català";"Pèrdues i G. analític.castellà",#N/A,FALSE,"Castellà"}</definedName>
    <definedName name="mcm" localSheetId="11" hidden="1">{"Pèrdues i Guanys analític.Català",#N/A,FALSE,"Català";"Pèrdues i G. analític.castellà",#N/A,FALSE,"Castellà"}</definedName>
    <definedName name="mcm" localSheetId="5" hidden="1">{"Pèrdues i Guanys analític.Català",#N/A,FALSE,"Català";"Pèrdues i G. analític.castellà",#N/A,FALSE,"Castellà"}</definedName>
    <definedName name="mcm" localSheetId="4" hidden="1">{"Pèrdues i Guanys analític.Català",#N/A,FALSE,"Català";"Pèrdues i G. analític.castellà",#N/A,FALSE,"Castellà"}</definedName>
    <definedName name="mcm" hidden="1">{"Pèrdues i Guanys analític.Català",#N/A,FALSE,"Català";"Pèrdues i G. analític.castellà",#N/A,FALSE,"Castellà"}</definedName>
    <definedName name="mercia" localSheetId="3" hidden="1">{"'REL CUSTODIF'!$B$1:$H$72"}</definedName>
    <definedName name="mercia" localSheetId="6" hidden="1">{"'REL CUSTODIF'!$B$1:$H$72"}</definedName>
    <definedName name="mercia" localSheetId="7" hidden="1">{"'REL CUSTODIF'!$B$1:$H$72"}</definedName>
    <definedName name="mercia" localSheetId="10" hidden="1">{"'REL CUSTODIF'!$B$1:$H$72"}</definedName>
    <definedName name="mercia" localSheetId="11" hidden="1">{"'REL CUSTODIF'!$B$1:$H$72"}</definedName>
    <definedName name="mercia" localSheetId="5" hidden="1">{"'REL CUSTODIF'!$B$1:$H$72"}</definedName>
    <definedName name="mercia" localSheetId="4" hidden="1">{"'REL CUSTODIF'!$B$1:$H$72"}</definedName>
    <definedName name="mercia" hidden="1">{"'REL CUSTODIF'!$B$1:$H$72"}</definedName>
    <definedName name="merito" localSheetId="3"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merito" localSheetId="6"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merito" localSheetId="7"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merito" localSheetId="10"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merito" localSheetId="1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merito" localSheetId="5"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merito" localSheetId="4"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merito"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metasantigas" localSheetId="3" hidden="1">{"'gráf jan00'!$A$1:$AK$41"}</definedName>
    <definedName name="metasantigas" localSheetId="6" hidden="1">{"'gráf jan00'!$A$1:$AK$41"}</definedName>
    <definedName name="metasantigas" localSheetId="7" hidden="1">{"'gráf jan00'!$A$1:$AK$41"}</definedName>
    <definedName name="metasantigas" localSheetId="10" hidden="1">{"'gráf jan00'!$A$1:$AK$41"}</definedName>
    <definedName name="metasantigas" localSheetId="11" hidden="1">{"'gráf jan00'!$A$1:$AK$41"}</definedName>
    <definedName name="metasantigas" localSheetId="5" hidden="1">{"'gráf jan00'!$A$1:$AK$41"}</definedName>
    <definedName name="metasantigas" localSheetId="4" hidden="1">{"'gráf jan00'!$A$1:$AK$41"}</definedName>
    <definedName name="metasantigas" hidden="1">{"'gráf jan00'!$A$1:$AK$41"}</definedName>
    <definedName name="MEWarning" hidden="1">1</definedName>
    <definedName name="MM">[16]PreAtemporais!$I$13</definedName>
    <definedName name="MMM" localSheetId="3" hidden="1">{"'gráf jan00'!$A$1:$AK$41"}</definedName>
    <definedName name="MMM" localSheetId="6" hidden="1">{"'gráf jan00'!$A$1:$AK$41"}</definedName>
    <definedName name="MMM" localSheetId="7" hidden="1">{"'gráf jan00'!$A$1:$AK$41"}</definedName>
    <definedName name="MMM" localSheetId="10" hidden="1">{"'gráf jan00'!$A$1:$AK$41"}</definedName>
    <definedName name="MMM" localSheetId="11" hidden="1">{"'gráf jan00'!$A$1:$AK$41"}</definedName>
    <definedName name="MMM" localSheetId="5" hidden="1">{"'gráf jan00'!$A$1:$AK$41"}</definedName>
    <definedName name="MMM" localSheetId="4" hidden="1">{"'gráf jan00'!$A$1:$AK$41"}</definedName>
    <definedName name="MMM" hidden="1">{"'gráf jan00'!$A$1:$AK$41"}</definedName>
    <definedName name="mmmmm" localSheetId="3"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mmmmm" localSheetId="6"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mmmmm" localSheetId="7"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mmmmm" localSheetId="10"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mmmmm" localSheetId="1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mmmmm" localSheetId="5"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mmmmm" localSheetId="4"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mmmmm" localSheetId="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mmmmm" localSheetId="2"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mmmmm"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MO" localSheetId="3">#REF!</definedName>
    <definedName name="MO" localSheetId="6">#REF!</definedName>
    <definedName name="MO" localSheetId="7">#REF!</definedName>
    <definedName name="MO" localSheetId="10">#REF!</definedName>
    <definedName name="MO" localSheetId="11">#REF!</definedName>
    <definedName name="MO">#REF!</definedName>
    <definedName name="MOA" localSheetId="3" hidden="1">{#N/A,#N/A,FALSE,"DEF1";#N/A,#N/A,FALSE,"DEF2";#N/A,#N/A,FALSE,"DEF3"}</definedName>
    <definedName name="MOA" localSheetId="6" hidden="1">{#N/A,#N/A,FALSE,"DEF1";#N/A,#N/A,FALSE,"DEF2";#N/A,#N/A,FALSE,"DEF3"}</definedName>
    <definedName name="MOA" localSheetId="7" hidden="1">{#N/A,#N/A,FALSE,"DEF1";#N/A,#N/A,FALSE,"DEF2";#N/A,#N/A,FALSE,"DEF3"}</definedName>
    <definedName name="MOA" localSheetId="10" hidden="1">{#N/A,#N/A,FALSE,"DEF1";#N/A,#N/A,FALSE,"DEF2";#N/A,#N/A,FALSE,"DEF3"}</definedName>
    <definedName name="MOA" localSheetId="11" hidden="1">{#N/A,#N/A,FALSE,"DEF1";#N/A,#N/A,FALSE,"DEF2";#N/A,#N/A,FALSE,"DEF3"}</definedName>
    <definedName name="MOA" localSheetId="5" hidden="1">{#N/A,#N/A,FALSE,"DEF1";#N/A,#N/A,FALSE,"DEF2";#N/A,#N/A,FALSE,"DEF3"}</definedName>
    <definedName name="MOA" localSheetId="4" hidden="1">{#N/A,#N/A,FALSE,"DEF1";#N/A,#N/A,FALSE,"DEF2";#N/A,#N/A,FALSE,"DEF3"}</definedName>
    <definedName name="MOA" hidden="1">{#N/A,#N/A,FALSE,"DEF1";#N/A,#N/A,FALSE,"DEF2";#N/A,#N/A,FALSE,"DEF3"}</definedName>
    <definedName name="MOCPU" localSheetId="3">#REF!</definedName>
    <definedName name="MOCPU" localSheetId="6">#REF!</definedName>
    <definedName name="MOCPU" localSheetId="7">#REF!</definedName>
    <definedName name="MOCPU" localSheetId="10">#REF!</definedName>
    <definedName name="MOCPU" localSheetId="11">#REF!</definedName>
    <definedName name="MOCPU">#REF!</definedName>
    <definedName name="MODELO" localSheetId="3" hidden="1">{#N/A,#N/A,FALSE,"SITUAÇÃO DIÁRIA ";#N/A,#N/A,FALSE,"7 à 7"}</definedName>
    <definedName name="MODELO" localSheetId="6" hidden="1">{#N/A,#N/A,FALSE,"SITUAÇÃO DIÁRIA ";#N/A,#N/A,FALSE,"7 à 7"}</definedName>
    <definedName name="MODELO" localSheetId="7" hidden="1">{#N/A,#N/A,FALSE,"SITUAÇÃO DIÁRIA ";#N/A,#N/A,FALSE,"7 à 7"}</definedName>
    <definedName name="MODELO" localSheetId="10" hidden="1">{#N/A,#N/A,FALSE,"SITUAÇÃO DIÁRIA ";#N/A,#N/A,FALSE,"7 à 7"}</definedName>
    <definedName name="MODELO" localSheetId="11" hidden="1">{#N/A,#N/A,FALSE,"SITUAÇÃO DIÁRIA ";#N/A,#N/A,FALSE,"7 à 7"}</definedName>
    <definedName name="MODELO" localSheetId="5" hidden="1">{#N/A,#N/A,FALSE,"SITUAÇÃO DIÁRIA ";#N/A,#N/A,FALSE,"7 à 7"}</definedName>
    <definedName name="MODELO" localSheetId="4" hidden="1">{#N/A,#N/A,FALSE,"SITUAÇÃO DIÁRIA ";#N/A,#N/A,FALSE,"7 à 7"}</definedName>
    <definedName name="MODELO" hidden="1">{#N/A,#N/A,FALSE,"SITUAÇÃO DIÁRIA ";#N/A,#N/A,FALSE,"7 à 7"}</definedName>
    <definedName name="MULHRT" localSheetId="3" hidden="1">{"'gráf jan00'!$A$1:$AK$41"}</definedName>
    <definedName name="MULHRT" localSheetId="6" hidden="1">{"'gráf jan00'!$A$1:$AK$41"}</definedName>
    <definedName name="MULHRT" localSheetId="7" hidden="1">{"'gráf jan00'!$A$1:$AK$41"}</definedName>
    <definedName name="MULHRT" localSheetId="10" hidden="1">{"'gráf jan00'!$A$1:$AK$41"}</definedName>
    <definedName name="MULHRT" localSheetId="11" hidden="1">{"'gráf jan00'!$A$1:$AK$41"}</definedName>
    <definedName name="MULHRT" localSheetId="5" hidden="1">{"'gráf jan00'!$A$1:$AK$41"}</definedName>
    <definedName name="MULHRT" localSheetId="4" hidden="1">{"'gráf jan00'!$A$1:$AK$41"}</definedName>
    <definedName name="MULHRT" hidden="1">{"'gráf jan00'!$A$1:$AK$41"}</definedName>
    <definedName name="N.Ferrosos" localSheetId="3" hidden="1">{"'CptDifn'!$AA$32:$AG$32"}</definedName>
    <definedName name="N.Ferrosos" localSheetId="6" hidden="1">{"'CptDifn'!$AA$32:$AG$32"}</definedName>
    <definedName name="N.Ferrosos" localSheetId="7" hidden="1">{"'CptDifn'!$AA$32:$AG$32"}</definedName>
    <definedName name="N.Ferrosos" localSheetId="10" hidden="1">{"'CptDifn'!$AA$32:$AG$32"}</definedName>
    <definedName name="N.Ferrosos" localSheetId="11" hidden="1">{"'CptDifn'!$AA$32:$AG$32"}</definedName>
    <definedName name="N.Ferrosos" localSheetId="5" hidden="1">{"'CptDifn'!$AA$32:$AG$32"}</definedName>
    <definedName name="N.Ferrosos" localSheetId="4" hidden="1">{"'CptDifn'!$AA$32:$AG$32"}</definedName>
    <definedName name="N.Ferrosos" hidden="1">{"'CptDifn'!$AA$32:$AG$32"}</definedName>
    <definedName name="negócio" localSheetId="3" hidden="1">{"'gráf jan00'!$A$1:$AK$41"}</definedName>
    <definedName name="negócio" localSheetId="6" hidden="1">{"'gráf jan00'!$A$1:$AK$41"}</definedName>
    <definedName name="negócio" localSheetId="7" hidden="1">{"'gráf jan00'!$A$1:$AK$41"}</definedName>
    <definedName name="negócio" localSheetId="10" hidden="1">{"'gráf jan00'!$A$1:$AK$41"}</definedName>
    <definedName name="negócio" localSheetId="11" hidden="1">{"'gráf jan00'!$A$1:$AK$41"}</definedName>
    <definedName name="negócio" localSheetId="5" hidden="1">{"'gráf jan00'!$A$1:$AK$41"}</definedName>
    <definedName name="negócio" localSheetId="4" hidden="1">{"'gráf jan00'!$A$1:$AK$41"}</definedName>
    <definedName name="negócio" hidden="1">{"'gráf jan00'!$A$1:$AK$41"}</definedName>
    <definedName name="NOME2" localSheetId="3"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NOME2" localSheetId="6"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NOME2" localSheetId="7"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NOME2" localSheetId="10"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NOME2" localSheetId="11"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NOME2" localSheetId="5"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NOME2" localSheetId="4"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NOME2"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NOME3" localSheetId="3"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NOME3" localSheetId="6"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NOME3" localSheetId="7"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NOME3" localSheetId="10"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NOME3" localSheetId="11"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NOME3" localSheetId="5"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NOME3" localSheetId="4"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NOME3"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NOME4" localSheetId="3"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NOME4" localSheetId="6"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NOME4" localSheetId="7"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NOME4" localSheetId="10"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NOME4" localSheetId="11"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NOME4" localSheetId="5"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NOME4" localSheetId="4"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NOME4"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NOME5" localSheetId="3"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NOME5" localSheetId="6"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NOME5" localSheetId="7"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NOME5" localSheetId="10"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NOME5" localSheetId="11"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NOME5" localSheetId="5"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NOME5" localSheetId="4"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NOME5"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nOVO" localSheetId="3"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nOVO" localSheetId="6"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nOVO" localSheetId="7"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nOVO" localSheetId="10"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nOVO" localSheetId="11"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nOVO" localSheetId="5"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nOVO" localSheetId="4"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nOVO"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novo_nome" localSheetId="3" hidden="1">{#N/A,#N/A,FALSE,"31 - Balanço";#N/A,#N/A,FALSE,"41 - Resultado";#N/A,#N/A,FALSE,"51 - Fluxo de Caixa"}</definedName>
    <definedName name="novo_nome" localSheetId="6" hidden="1">{#N/A,#N/A,FALSE,"31 - Balanço";#N/A,#N/A,FALSE,"41 - Resultado";#N/A,#N/A,FALSE,"51 - Fluxo de Caixa"}</definedName>
    <definedName name="novo_nome" localSheetId="7" hidden="1">{#N/A,#N/A,FALSE,"31 - Balanço";#N/A,#N/A,FALSE,"41 - Resultado";#N/A,#N/A,FALSE,"51 - Fluxo de Caixa"}</definedName>
    <definedName name="novo_nome" localSheetId="10" hidden="1">{#N/A,#N/A,FALSE,"31 - Balanço";#N/A,#N/A,FALSE,"41 - Resultado";#N/A,#N/A,FALSE,"51 - Fluxo de Caixa"}</definedName>
    <definedName name="novo_nome" localSheetId="11" hidden="1">{#N/A,#N/A,FALSE,"31 - Balanço";#N/A,#N/A,FALSE,"41 - Resultado";#N/A,#N/A,FALSE,"51 - Fluxo de Caixa"}</definedName>
    <definedName name="novo_nome" localSheetId="5" hidden="1">{#N/A,#N/A,FALSE,"31 - Balanço";#N/A,#N/A,FALSE,"41 - Resultado";#N/A,#N/A,FALSE,"51 - Fluxo de Caixa"}</definedName>
    <definedName name="novo_nome" localSheetId="4" hidden="1">{#N/A,#N/A,FALSE,"31 - Balanço";#N/A,#N/A,FALSE,"41 - Resultado";#N/A,#N/A,FALSE,"51 - Fluxo de Caixa"}</definedName>
    <definedName name="novo_nome" hidden="1">{#N/A,#N/A,FALSE,"31 - Balanço";#N/A,#N/A,FALSE,"41 - Resultado";#N/A,#N/A,FALSE,"51 - Fluxo de Caixa"}</definedName>
    <definedName name="NPV.FCFF" localSheetId="3">#REF!</definedName>
    <definedName name="NPV.FCFF" localSheetId="6">#REF!</definedName>
    <definedName name="NPV.FCFF" localSheetId="7">#REF!</definedName>
    <definedName name="NPV.FCFF" localSheetId="10">#REF!</definedName>
    <definedName name="NPV.FCFF" localSheetId="11">#REF!</definedName>
    <definedName name="NPV.FCFF">#REF!</definedName>
    <definedName name="OA" localSheetId="3"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OA" localSheetId="6"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OA" localSheetId="7"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OA" localSheetId="10"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OA" localSheetId="11"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OA" localSheetId="5"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OA" localSheetId="4"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OA"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OAE">#REF!</definedName>
    <definedName name="OAE_ARARAS" localSheetId="3">'[13]$OAE'!#REF!</definedName>
    <definedName name="OAE_ARARAS" localSheetId="6">'[13]$OAE'!#REF!</definedName>
    <definedName name="OAE_ARARAS">'[13]$OAE'!#REF!</definedName>
    <definedName name="OIUNHGT" localSheetId="3" hidden="1">{#N/A,#N/A,FALSE,"GERAL";#N/A,#N/A,FALSE,"012-96";#N/A,#N/A,FALSE,"018-96";#N/A,#N/A,FALSE,"027-96";#N/A,#N/A,FALSE,"059-96";#N/A,#N/A,FALSE,"076-96";#N/A,#N/A,FALSE,"019-97";#N/A,#N/A,FALSE,"021-97";#N/A,#N/A,FALSE,"022-97";#N/A,#N/A,FALSE,"028-97"}</definedName>
    <definedName name="OIUNHGT" localSheetId="6" hidden="1">{#N/A,#N/A,FALSE,"GERAL";#N/A,#N/A,FALSE,"012-96";#N/A,#N/A,FALSE,"018-96";#N/A,#N/A,FALSE,"027-96";#N/A,#N/A,FALSE,"059-96";#N/A,#N/A,FALSE,"076-96";#N/A,#N/A,FALSE,"019-97";#N/A,#N/A,FALSE,"021-97";#N/A,#N/A,FALSE,"022-97";#N/A,#N/A,FALSE,"028-97"}</definedName>
    <definedName name="OIUNHGT" localSheetId="7" hidden="1">{#N/A,#N/A,FALSE,"GERAL";#N/A,#N/A,FALSE,"012-96";#N/A,#N/A,FALSE,"018-96";#N/A,#N/A,FALSE,"027-96";#N/A,#N/A,FALSE,"059-96";#N/A,#N/A,FALSE,"076-96";#N/A,#N/A,FALSE,"019-97";#N/A,#N/A,FALSE,"021-97";#N/A,#N/A,FALSE,"022-97";#N/A,#N/A,FALSE,"028-97"}</definedName>
    <definedName name="OIUNHGT" localSheetId="10" hidden="1">{#N/A,#N/A,FALSE,"GERAL";#N/A,#N/A,FALSE,"012-96";#N/A,#N/A,FALSE,"018-96";#N/A,#N/A,FALSE,"027-96";#N/A,#N/A,FALSE,"059-96";#N/A,#N/A,FALSE,"076-96";#N/A,#N/A,FALSE,"019-97";#N/A,#N/A,FALSE,"021-97";#N/A,#N/A,FALSE,"022-97";#N/A,#N/A,FALSE,"028-97"}</definedName>
    <definedName name="OIUNHGT" localSheetId="11" hidden="1">{#N/A,#N/A,FALSE,"GERAL";#N/A,#N/A,FALSE,"012-96";#N/A,#N/A,FALSE,"018-96";#N/A,#N/A,FALSE,"027-96";#N/A,#N/A,FALSE,"059-96";#N/A,#N/A,FALSE,"076-96";#N/A,#N/A,FALSE,"019-97";#N/A,#N/A,FALSE,"021-97";#N/A,#N/A,FALSE,"022-97";#N/A,#N/A,FALSE,"028-97"}</definedName>
    <definedName name="OIUNHGT" localSheetId="5" hidden="1">{#N/A,#N/A,FALSE,"GERAL";#N/A,#N/A,FALSE,"012-96";#N/A,#N/A,FALSE,"018-96";#N/A,#N/A,FALSE,"027-96";#N/A,#N/A,FALSE,"059-96";#N/A,#N/A,FALSE,"076-96";#N/A,#N/A,FALSE,"019-97";#N/A,#N/A,FALSE,"021-97";#N/A,#N/A,FALSE,"022-97";#N/A,#N/A,FALSE,"028-97"}</definedName>
    <definedName name="OIUNHGT" localSheetId="4" hidden="1">{#N/A,#N/A,FALSE,"GERAL";#N/A,#N/A,FALSE,"012-96";#N/A,#N/A,FALSE,"018-96";#N/A,#N/A,FALSE,"027-96";#N/A,#N/A,FALSE,"059-96";#N/A,#N/A,FALSE,"076-96";#N/A,#N/A,FALSE,"019-97";#N/A,#N/A,FALSE,"021-97";#N/A,#N/A,FALSE,"022-97";#N/A,#N/A,FALSE,"028-97"}</definedName>
    <definedName name="OIUNHGT" hidden="1">{#N/A,#N/A,FALSE,"GERAL";#N/A,#N/A,FALSE,"012-96";#N/A,#N/A,FALSE,"018-96";#N/A,#N/A,FALSE,"027-96";#N/A,#N/A,FALSE,"059-96";#N/A,#N/A,FALSE,"076-96";#N/A,#N/A,FALSE,"019-97";#N/A,#N/A,FALSE,"021-97";#N/A,#N/A,FALSE,"022-97";#N/A,#N/A,FALSE,"028-97"}</definedName>
    <definedName name="OK" localSheetId="3" hidden="1">{#N/A,#N/A,FALSE,"GERAL";#N/A,#N/A,FALSE,"012-96";#N/A,#N/A,FALSE,"018-96";#N/A,#N/A,FALSE,"027-96";#N/A,#N/A,FALSE,"059-96";#N/A,#N/A,FALSE,"076-96";#N/A,#N/A,FALSE,"019-97";#N/A,#N/A,FALSE,"021-97";#N/A,#N/A,FALSE,"022-97";#N/A,#N/A,FALSE,"028-97"}</definedName>
    <definedName name="OK" localSheetId="6" hidden="1">{#N/A,#N/A,FALSE,"GERAL";#N/A,#N/A,FALSE,"012-96";#N/A,#N/A,FALSE,"018-96";#N/A,#N/A,FALSE,"027-96";#N/A,#N/A,FALSE,"059-96";#N/A,#N/A,FALSE,"076-96";#N/A,#N/A,FALSE,"019-97";#N/A,#N/A,FALSE,"021-97";#N/A,#N/A,FALSE,"022-97";#N/A,#N/A,FALSE,"028-97"}</definedName>
    <definedName name="OK" localSheetId="7" hidden="1">{#N/A,#N/A,FALSE,"GERAL";#N/A,#N/A,FALSE,"012-96";#N/A,#N/A,FALSE,"018-96";#N/A,#N/A,FALSE,"027-96";#N/A,#N/A,FALSE,"059-96";#N/A,#N/A,FALSE,"076-96";#N/A,#N/A,FALSE,"019-97";#N/A,#N/A,FALSE,"021-97";#N/A,#N/A,FALSE,"022-97";#N/A,#N/A,FALSE,"028-97"}</definedName>
    <definedName name="OK" localSheetId="10" hidden="1">{#N/A,#N/A,FALSE,"GERAL";#N/A,#N/A,FALSE,"012-96";#N/A,#N/A,FALSE,"018-96";#N/A,#N/A,FALSE,"027-96";#N/A,#N/A,FALSE,"059-96";#N/A,#N/A,FALSE,"076-96";#N/A,#N/A,FALSE,"019-97";#N/A,#N/A,FALSE,"021-97";#N/A,#N/A,FALSE,"022-97";#N/A,#N/A,FALSE,"028-97"}</definedName>
    <definedName name="OK" localSheetId="11" hidden="1">{#N/A,#N/A,FALSE,"GERAL";#N/A,#N/A,FALSE,"012-96";#N/A,#N/A,FALSE,"018-96";#N/A,#N/A,FALSE,"027-96";#N/A,#N/A,FALSE,"059-96";#N/A,#N/A,FALSE,"076-96";#N/A,#N/A,FALSE,"019-97";#N/A,#N/A,FALSE,"021-97";#N/A,#N/A,FALSE,"022-97";#N/A,#N/A,FALSE,"028-97"}</definedName>
    <definedName name="OK" localSheetId="5" hidden="1">{#N/A,#N/A,FALSE,"GERAL";#N/A,#N/A,FALSE,"012-96";#N/A,#N/A,FALSE,"018-96";#N/A,#N/A,FALSE,"027-96";#N/A,#N/A,FALSE,"059-96";#N/A,#N/A,FALSE,"076-96";#N/A,#N/A,FALSE,"019-97";#N/A,#N/A,FALSE,"021-97";#N/A,#N/A,FALSE,"022-97";#N/A,#N/A,FALSE,"028-97"}</definedName>
    <definedName name="OK" localSheetId="4" hidden="1">{#N/A,#N/A,FALSE,"GERAL";#N/A,#N/A,FALSE,"012-96";#N/A,#N/A,FALSE,"018-96";#N/A,#N/A,FALSE,"027-96";#N/A,#N/A,FALSE,"059-96";#N/A,#N/A,FALSE,"076-96";#N/A,#N/A,FALSE,"019-97";#N/A,#N/A,FALSE,"021-97";#N/A,#N/A,FALSE,"022-97";#N/A,#N/A,FALSE,"028-97"}</definedName>
    <definedName name="OK" hidden="1">{#N/A,#N/A,FALSE,"GERAL";#N/A,#N/A,FALSE,"012-96";#N/A,#N/A,FALSE,"018-96";#N/A,#N/A,FALSE,"027-96";#N/A,#N/A,FALSE,"059-96";#N/A,#N/A,FALSE,"076-96";#N/A,#N/A,FALSE,"019-97";#N/A,#N/A,FALSE,"021-97";#N/A,#N/A,FALSE,"022-97";#N/A,#N/A,FALSE,"028-97"}</definedName>
    <definedName name="olnah" localSheetId="3" hidden="1">{#N/A,#N/A,TRUE,"Summary";#N/A,#N/A,TRUE,"Worksheet";#N/A,#N/A,TRUE,"CashFlow"}</definedName>
    <definedName name="olnah" localSheetId="6" hidden="1">{#N/A,#N/A,TRUE,"Summary";#N/A,#N/A,TRUE,"Worksheet";#N/A,#N/A,TRUE,"CashFlow"}</definedName>
    <definedName name="olnah" localSheetId="7" hidden="1">{#N/A,#N/A,TRUE,"Summary";#N/A,#N/A,TRUE,"Worksheet";#N/A,#N/A,TRUE,"CashFlow"}</definedName>
    <definedName name="olnah" localSheetId="10" hidden="1">{#N/A,#N/A,TRUE,"Summary";#N/A,#N/A,TRUE,"Worksheet";#N/A,#N/A,TRUE,"CashFlow"}</definedName>
    <definedName name="olnah" localSheetId="11" hidden="1">{#N/A,#N/A,TRUE,"Summary";#N/A,#N/A,TRUE,"Worksheet";#N/A,#N/A,TRUE,"CashFlow"}</definedName>
    <definedName name="olnah" localSheetId="5" hidden="1">{#N/A,#N/A,TRUE,"Summary";#N/A,#N/A,TRUE,"Worksheet";#N/A,#N/A,TRUE,"CashFlow"}</definedName>
    <definedName name="olnah" localSheetId="4" hidden="1">{#N/A,#N/A,TRUE,"Summary";#N/A,#N/A,TRUE,"Worksheet";#N/A,#N/A,TRUE,"CashFlow"}</definedName>
    <definedName name="olnah" hidden="1">{#N/A,#N/A,TRUE,"Summary";#N/A,#N/A,TRUE,"Worksheet";#N/A,#N/A,TRUE,"CashFlow"}</definedName>
    <definedName name="OMY" localSheetId="3" hidden="1">{#N/A,#N/A,FALSE,"Ocorrência OOLA";#N/A,#N/A,FALSE,"Ocorrência OOLL";#N/A,#N/A,FALSE,"Extra OOLA";#N/A,#N/A,FALSE,"Extra OOLL"}</definedName>
    <definedName name="OMY" localSheetId="6" hidden="1">{#N/A,#N/A,FALSE,"Ocorrência OOLA";#N/A,#N/A,FALSE,"Ocorrência OOLL";#N/A,#N/A,FALSE,"Extra OOLA";#N/A,#N/A,FALSE,"Extra OOLL"}</definedName>
    <definedName name="OMY" localSheetId="7" hidden="1">{#N/A,#N/A,FALSE,"Ocorrência OOLA";#N/A,#N/A,FALSE,"Ocorrência OOLL";#N/A,#N/A,FALSE,"Extra OOLA";#N/A,#N/A,FALSE,"Extra OOLL"}</definedName>
    <definedName name="OMY" localSheetId="10" hidden="1">{#N/A,#N/A,FALSE,"Ocorrência OOLA";#N/A,#N/A,FALSE,"Ocorrência OOLL";#N/A,#N/A,FALSE,"Extra OOLA";#N/A,#N/A,FALSE,"Extra OOLL"}</definedName>
    <definedName name="OMY" localSheetId="11" hidden="1">{#N/A,#N/A,FALSE,"Ocorrência OOLA";#N/A,#N/A,FALSE,"Ocorrência OOLL";#N/A,#N/A,FALSE,"Extra OOLA";#N/A,#N/A,FALSE,"Extra OOLL"}</definedName>
    <definedName name="OMY" localSheetId="5" hidden="1">{#N/A,#N/A,FALSE,"Ocorrência OOLA";#N/A,#N/A,FALSE,"Ocorrência OOLL";#N/A,#N/A,FALSE,"Extra OOLA";#N/A,#N/A,FALSE,"Extra OOLL"}</definedName>
    <definedName name="OMY" localSheetId="4" hidden="1">{#N/A,#N/A,FALSE,"Ocorrência OOLA";#N/A,#N/A,FALSE,"Ocorrência OOLL";#N/A,#N/A,FALSE,"Extra OOLA";#N/A,#N/A,FALSE,"Extra OOLL"}</definedName>
    <definedName name="OMY" hidden="1">{#N/A,#N/A,FALSE,"Ocorrência OOLA";#N/A,#N/A,FALSE,"Ocorrência OOLL";#N/A,#N/A,FALSE,"Extra OOLA";#N/A,#N/A,FALSE,"Extra OOLL"}</definedName>
    <definedName name="OPIOKKL" localSheetId="3" hidden="1">{#N/A,#N/A,FALSE,"Suprimentos";#N/A,#N/A,FALSE,"Medicina e Segurança";#N/A,#N/A,FALSE,"Administração";#N/A,#N/A,FALSE,"Meio Ambiente";#N/A,#N/A,FALSE,"Operação (Mina)";#N/A,#N/A,FALSE,"Operação (Porto)"}</definedName>
    <definedName name="OPIOKKL" localSheetId="6" hidden="1">{#N/A,#N/A,FALSE,"Suprimentos";#N/A,#N/A,FALSE,"Medicina e Segurança";#N/A,#N/A,FALSE,"Administração";#N/A,#N/A,FALSE,"Meio Ambiente";#N/A,#N/A,FALSE,"Operação (Mina)";#N/A,#N/A,FALSE,"Operação (Porto)"}</definedName>
    <definedName name="OPIOKKL" localSheetId="7" hidden="1">{#N/A,#N/A,FALSE,"Suprimentos";#N/A,#N/A,FALSE,"Medicina e Segurança";#N/A,#N/A,FALSE,"Administração";#N/A,#N/A,FALSE,"Meio Ambiente";#N/A,#N/A,FALSE,"Operação (Mina)";#N/A,#N/A,FALSE,"Operação (Porto)"}</definedName>
    <definedName name="OPIOKKL" localSheetId="10" hidden="1">{#N/A,#N/A,FALSE,"Suprimentos";#N/A,#N/A,FALSE,"Medicina e Segurança";#N/A,#N/A,FALSE,"Administração";#N/A,#N/A,FALSE,"Meio Ambiente";#N/A,#N/A,FALSE,"Operação (Mina)";#N/A,#N/A,FALSE,"Operação (Porto)"}</definedName>
    <definedName name="OPIOKKL" localSheetId="11" hidden="1">{#N/A,#N/A,FALSE,"Suprimentos";#N/A,#N/A,FALSE,"Medicina e Segurança";#N/A,#N/A,FALSE,"Administração";#N/A,#N/A,FALSE,"Meio Ambiente";#N/A,#N/A,FALSE,"Operação (Mina)";#N/A,#N/A,FALSE,"Operação (Porto)"}</definedName>
    <definedName name="OPIOKKL" localSheetId="5" hidden="1">{#N/A,#N/A,FALSE,"Suprimentos";#N/A,#N/A,FALSE,"Medicina e Segurança";#N/A,#N/A,FALSE,"Administração";#N/A,#N/A,FALSE,"Meio Ambiente";#N/A,#N/A,FALSE,"Operação (Mina)";#N/A,#N/A,FALSE,"Operação (Porto)"}</definedName>
    <definedName name="OPIOKKL" localSheetId="4" hidden="1">{#N/A,#N/A,FALSE,"Suprimentos";#N/A,#N/A,FALSE,"Medicina e Segurança";#N/A,#N/A,FALSE,"Administração";#N/A,#N/A,FALSE,"Meio Ambiente";#N/A,#N/A,FALSE,"Operação (Mina)";#N/A,#N/A,FALSE,"Operação (Porto)"}</definedName>
    <definedName name="OPIOKKL" hidden="1">{#N/A,#N/A,FALSE,"Suprimentos";#N/A,#N/A,FALSE,"Medicina e Segurança";#N/A,#N/A,FALSE,"Administração";#N/A,#N/A,FALSE,"Meio Ambiente";#N/A,#N/A,FALSE,"Operação (Mina)";#N/A,#N/A,FALSE,"Operação (Porto)"}</definedName>
    <definedName name="Orçado_2011" localSheetId="3"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Orçado_2011" localSheetId="6"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Orçado_2011" localSheetId="7"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Orçado_2011" localSheetId="10"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Orçado_2011" localSheetId="1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Orçado_2011" localSheetId="5"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Orçado_2011" localSheetId="4"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Orçado_201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ORGAN" localSheetId="3" hidden="1">{#N/A,#N/A,FALSE,"Ocorrência OOLA";#N/A,#N/A,FALSE,"Ocorrência OOLL";#N/A,#N/A,FALSE,"Extra OOLA";#N/A,#N/A,FALSE,"Extra OOLL"}</definedName>
    <definedName name="ORGAN" localSheetId="6" hidden="1">{#N/A,#N/A,FALSE,"Ocorrência OOLA";#N/A,#N/A,FALSE,"Ocorrência OOLL";#N/A,#N/A,FALSE,"Extra OOLA";#N/A,#N/A,FALSE,"Extra OOLL"}</definedName>
    <definedName name="ORGAN" localSheetId="7" hidden="1">{#N/A,#N/A,FALSE,"Ocorrência OOLA";#N/A,#N/A,FALSE,"Ocorrência OOLL";#N/A,#N/A,FALSE,"Extra OOLA";#N/A,#N/A,FALSE,"Extra OOLL"}</definedName>
    <definedName name="ORGAN" localSheetId="10" hidden="1">{#N/A,#N/A,FALSE,"Ocorrência OOLA";#N/A,#N/A,FALSE,"Ocorrência OOLL";#N/A,#N/A,FALSE,"Extra OOLA";#N/A,#N/A,FALSE,"Extra OOLL"}</definedName>
    <definedName name="ORGAN" localSheetId="11" hidden="1">{#N/A,#N/A,FALSE,"Ocorrência OOLA";#N/A,#N/A,FALSE,"Ocorrência OOLL";#N/A,#N/A,FALSE,"Extra OOLA";#N/A,#N/A,FALSE,"Extra OOLL"}</definedName>
    <definedName name="ORGAN" localSheetId="5" hidden="1">{#N/A,#N/A,FALSE,"Ocorrência OOLA";#N/A,#N/A,FALSE,"Ocorrência OOLL";#N/A,#N/A,FALSE,"Extra OOLA";#N/A,#N/A,FALSE,"Extra OOLL"}</definedName>
    <definedName name="ORGAN" localSheetId="4" hidden="1">{#N/A,#N/A,FALSE,"Ocorrência OOLA";#N/A,#N/A,FALSE,"Ocorrência OOLL";#N/A,#N/A,FALSE,"Extra OOLA";#N/A,#N/A,FALSE,"Extra OOLL"}</definedName>
    <definedName name="ORGAN" hidden="1">{#N/A,#N/A,FALSE,"Ocorrência OOLA";#N/A,#N/A,FALSE,"Ocorrência OOLL";#N/A,#N/A,FALSE,"Extra OOLA";#N/A,#N/A,FALSE,"Extra OOLL"}</definedName>
    <definedName name="ORGANO" localSheetId="3" hidden="1">{#N/A,#N/A,FALSE,"Anexo I";#N/A,#N/A,FALSE,"Anexo II";#N/A,#N/A,FALSE,"Anexo III"}</definedName>
    <definedName name="ORGANO" localSheetId="6" hidden="1">{#N/A,#N/A,FALSE,"Anexo I";#N/A,#N/A,FALSE,"Anexo II";#N/A,#N/A,FALSE,"Anexo III"}</definedName>
    <definedName name="ORGANO" localSheetId="7" hidden="1">{#N/A,#N/A,FALSE,"Anexo I";#N/A,#N/A,FALSE,"Anexo II";#N/A,#N/A,FALSE,"Anexo III"}</definedName>
    <definedName name="ORGANO" localSheetId="10" hidden="1">{#N/A,#N/A,FALSE,"Anexo I";#N/A,#N/A,FALSE,"Anexo II";#N/A,#N/A,FALSE,"Anexo III"}</definedName>
    <definedName name="ORGANO" localSheetId="11" hidden="1">{#N/A,#N/A,FALSE,"Anexo I";#N/A,#N/A,FALSE,"Anexo II";#N/A,#N/A,FALSE,"Anexo III"}</definedName>
    <definedName name="ORGANO" localSheetId="5" hidden="1">{#N/A,#N/A,FALSE,"Anexo I";#N/A,#N/A,FALSE,"Anexo II";#N/A,#N/A,FALSE,"Anexo III"}</definedName>
    <definedName name="ORGANO" localSheetId="4" hidden="1">{#N/A,#N/A,FALSE,"Anexo I";#N/A,#N/A,FALSE,"Anexo II";#N/A,#N/A,FALSE,"Anexo III"}</definedName>
    <definedName name="ORGANO" hidden="1">{#N/A,#N/A,FALSE,"Anexo I";#N/A,#N/A,FALSE,"Anexo II";#N/A,#N/A,FALSE,"Anexo III"}</definedName>
    <definedName name="origen" localSheetId="3"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origen" localSheetId="6"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origen" localSheetId="7"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origen" localSheetId="10"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origen" localSheetId="11"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origen" localSheetId="5"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origen" localSheetId="4"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origen"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outfix" localSheetId="3">#REF!</definedName>
    <definedName name="outfix" localSheetId="6">#REF!</definedName>
    <definedName name="outfix" localSheetId="7">#REF!</definedName>
    <definedName name="outfix" localSheetId="10">#REF!</definedName>
    <definedName name="outfix" localSheetId="11">#REF!</definedName>
    <definedName name="outfix">#REF!</definedName>
    <definedName name="OUTUBRO" localSheetId="3" hidden="1">{#N/A,#N/A,FALSE,"SITUAÇÃO DIÁRIA ";#N/A,#N/A,FALSE,"7 à 7"}</definedName>
    <definedName name="OUTUBRO" localSheetId="6" hidden="1">{#N/A,#N/A,FALSE,"SITUAÇÃO DIÁRIA ";#N/A,#N/A,FALSE,"7 à 7"}</definedName>
    <definedName name="OUTUBRO" localSheetId="7" hidden="1">{#N/A,#N/A,FALSE,"SITUAÇÃO DIÁRIA ";#N/A,#N/A,FALSE,"7 à 7"}</definedName>
    <definedName name="OUTUBRO" localSheetId="10" hidden="1">{#N/A,#N/A,FALSE,"SITUAÇÃO DIÁRIA ";#N/A,#N/A,FALSE,"7 à 7"}</definedName>
    <definedName name="OUTUBRO" localSheetId="11" hidden="1">{#N/A,#N/A,FALSE,"SITUAÇÃO DIÁRIA ";#N/A,#N/A,FALSE,"7 à 7"}</definedName>
    <definedName name="OUTUBRO" localSheetId="5" hidden="1">{#N/A,#N/A,FALSE,"SITUAÇÃO DIÁRIA ";#N/A,#N/A,FALSE,"7 à 7"}</definedName>
    <definedName name="OUTUBRO" localSheetId="4" hidden="1">{#N/A,#N/A,FALSE,"SITUAÇÃO DIÁRIA ";#N/A,#N/A,FALSE,"7 à 7"}</definedName>
    <definedName name="OUTUBRO" hidden="1">{#N/A,#N/A,FALSE,"SITUAÇÃO DIÁRIA ";#N/A,#N/A,FALSE,"7 à 7"}</definedName>
    <definedName name="outvar_0a" localSheetId="3">#REF!</definedName>
    <definedName name="outvar_0a" localSheetId="6">#REF!</definedName>
    <definedName name="outvar_0a" localSheetId="7">#REF!</definedName>
    <definedName name="outvar_0a" localSheetId="10">#REF!</definedName>
    <definedName name="outvar_0a" localSheetId="11">#REF!</definedName>
    <definedName name="outvar_0a">#REF!</definedName>
    <definedName name="outvar_0b" localSheetId="3">#REF!</definedName>
    <definedName name="outvar_0b" localSheetId="6">#REF!</definedName>
    <definedName name="outvar_0b" localSheetId="7">#REF!</definedName>
    <definedName name="outvar_0b" localSheetId="10">#REF!</definedName>
    <definedName name="outvar_0b">#REF!</definedName>
    <definedName name="Pal_Workbook_GUID" hidden="1">"FCTILZC3LXQUCG6AIJP4NTMK"</definedName>
    <definedName name="pata" localSheetId="3" hidden="1">{#N/A,#N/A,FALSE,"SITUAÇÃO DIÁRIA ";#N/A,#N/A,FALSE,"7 à 7"}</definedName>
    <definedName name="pata" localSheetId="6" hidden="1">{#N/A,#N/A,FALSE,"SITUAÇÃO DIÁRIA ";#N/A,#N/A,FALSE,"7 à 7"}</definedName>
    <definedName name="pata" localSheetId="7" hidden="1">{#N/A,#N/A,FALSE,"SITUAÇÃO DIÁRIA ";#N/A,#N/A,FALSE,"7 à 7"}</definedName>
    <definedName name="pata" localSheetId="10" hidden="1">{#N/A,#N/A,FALSE,"SITUAÇÃO DIÁRIA ";#N/A,#N/A,FALSE,"7 à 7"}</definedName>
    <definedName name="pata" localSheetId="11" hidden="1">{#N/A,#N/A,FALSE,"SITUAÇÃO DIÁRIA ";#N/A,#N/A,FALSE,"7 à 7"}</definedName>
    <definedName name="pata" localSheetId="5" hidden="1">{#N/A,#N/A,FALSE,"SITUAÇÃO DIÁRIA ";#N/A,#N/A,FALSE,"7 à 7"}</definedName>
    <definedName name="pata" localSheetId="4" hidden="1">{#N/A,#N/A,FALSE,"SITUAÇÃO DIÁRIA ";#N/A,#N/A,FALSE,"7 à 7"}</definedName>
    <definedName name="pata" hidden="1">{#N/A,#N/A,FALSE,"SITUAÇÃO DIÁRIA ";#N/A,#N/A,FALSE,"7 à 7"}</definedName>
    <definedName name="Paula" localSheetId="3" hidden="1">{"'Quadro'!$A$4:$BG$78"}</definedName>
    <definedName name="Paula" localSheetId="6" hidden="1">{"'Quadro'!$A$4:$BG$78"}</definedName>
    <definedName name="Paula" localSheetId="7" hidden="1">{"'Quadro'!$A$4:$BG$78"}</definedName>
    <definedName name="Paula" localSheetId="10" hidden="1">{"'Quadro'!$A$4:$BG$78"}</definedName>
    <definedName name="Paula" localSheetId="11" hidden="1">{"'Quadro'!$A$4:$BG$78"}</definedName>
    <definedName name="Paula" localSheetId="5" hidden="1">{"'Quadro'!$A$4:$BG$78"}</definedName>
    <definedName name="Paula" localSheetId="4" hidden="1">{"'Quadro'!$A$4:$BG$78"}</definedName>
    <definedName name="Paula" hidden="1">{"'Quadro'!$A$4:$BG$78"}</definedName>
    <definedName name="PAV">#REF!</definedName>
    <definedName name="PAZ.COM.N" localSheetId="3" hidden="1">{"'TelRDAV'!$A$1:$T$20"}</definedName>
    <definedName name="PAZ.COM.N" localSheetId="6" hidden="1">{"'TelRDAV'!$A$1:$T$20"}</definedName>
    <definedName name="PAZ.COM.N" localSheetId="7" hidden="1">{"'TelRDAV'!$A$1:$T$20"}</definedName>
    <definedName name="PAZ.COM.N" localSheetId="10" hidden="1">{"'TelRDAV'!$A$1:$T$20"}</definedName>
    <definedName name="PAZ.COM.N" localSheetId="11" hidden="1">{"'TelRDAV'!$A$1:$T$20"}</definedName>
    <definedName name="PAZ.COM.N" localSheetId="5" hidden="1">{"'TelRDAV'!$A$1:$T$20"}</definedName>
    <definedName name="PAZ.COM.N" localSheetId="4" hidden="1">{"'TelRDAV'!$A$1:$T$20"}</definedName>
    <definedName name="PAZ.COM.N" hidden="1">{"'TelRDAV'!$A$1:$T$20"}</definedName>
    <definedName name="PDCA" localSheetId="3" hidden="1">{"'RR'!$A$2:$E$81"}</definedName>
    <definedName name="PDCA" localSheetId="6" hidden="1">{"'RR'!$A$2:$E$81"}</definedName>
    <definedName name="PDCA" localSheetId="7" hidden="1">{"'RR'!$A$2:$E$81"}</definedName>
    <definedName name="PDCA" localSheetId="10" hidden="1">{"'RR'!$A$2:$E$81"}</definedName>
    <definedName name="PDCA" localSheetId="11" hidden="1">{"'RR'!$A$2:$E$81"}</definedName>
    <definedName name="PDCA" localSheetId="5" hidden="1">{"'RR'!$A$2:$E$81"}</definedName>
    <definedName name="PDCA" localSheetId="4" hidden="1">{"'RR'!$A$2:$E$81"}</definedName>
    <definedName name="PDCA" hidden="1">{"'RR'!$A$2:$E$81"}</definedName>
    <definedName name="Pendências2" localSheetId="3" hidden="1">{#N/A,#N/A,FALSE,"GERAL";#N/A,#N/A,FALSE,"012-96";#N/A,#N/A,FALSE,"018-96";#N/A,#N/A,FALSE,"027-96";#N/A,#N/A,FALSE,"059-96";#N/A,#N/A,FALSE,"076-96";#N/A,#N/A,FALSE,"019-97";#N/A,#N/A,FALSE,"021-97";#N/A,#N/A,FALSE,"022-97";#N/A,#N/A,FALSE,"028-97"}</definedName>
    <definedName name="Pendências2" localSheetId="6" hidden="1">{#N/A,#N/A,FALSE,"GERAL";#N/A,#N/A,FALSE,"012-96";#N/A,#N/A,FALSE,"018-96";#N/A,#N/A,FALSE,"027-96";#N/A,#N/A,FALSE,"059-96";#N/A,#N/A,FALSE,"076-96";#N/A,#N/A,FALSE,"019-97";#N/A,#N/A,FALSE,"021-97";#N/A,#N/A,FALSE,"022-97";#N/A,#N/A,FALSE,"028-97"}</definedName>
    <definedName name="Pendências2" localSheetId="7" hidden="1">{#N/A,#N/A,FALSE,"GERAL";#N/A,#N/A,FALSE,"012-96";#N/A,#N/A,FALSE,"018-96";#N/A,#N/A,FALSE,"027-96";#N/A,#N/A,FALSE,"059-96";#N/A,#N/A,FALSE,"076-96";#N/A,#N/A,FALSE,"019-97";#N/A,#N/A,FALSE,"021-97";#N/A,#N/A,FALSE,"022-97";#N/A,#N/A,FALSE,"028-97"}</definedName>
    <definedName name="Pendências2" localSheetId="10" hidden="1">{#N/A,#N/A,FALSE,"GERAL";#N/A,#N/A,FALSE,"012-96";#N/A,#N/A,FALSE,"018-96";#N/A,#N/A,FALSE,"027-96";#N/A,#N/A,FALSE,"059-96";#N/A,#N/A,FALSE,"076-96";#N/A,#N/A,FALSE,"019-97";#N/A,#N/A,FALSE,"021-97";#N/A,#N/A,FALSE,"022-97";#N/A,#N/A,FALSE,"028-97"}</definedName>
    <definedName name="Pendências2" localSheetId="11" hidden="1">{#N/A,#N/A,FALSE,"GERAL";#N/A,#N/A,FALSE,"012-96";#N/A,#N/A,FALSE,"018-96";#N/A,#N/A,FALSE,"027-96";#N/A,#N/A,FALSE,"059-96";#N/A,#N/A,FALSE,"076-96";#N/A,#N/A,FALSE,"019-97";#N/A,#N/A,FALSE,"021-97";#N/A,#N/A,FALSE,"022-97";#N/A,#N/A,FALSE,"028-97"}</definedName>
    <definedName name="Pendências2" localSheetId="5" hidden="1">{#N/A,#N/A,FALSE,"GERAL";#N/A,#N/A,FALSE,"012-96";#N/A,#N/A,FALSE,"018-96";#N/A,#N/A,FALSE,"027-96";#N/A,#N/A,FALSE,"059-96";#N/A,#N/A,FALSE,"076-96";#N/A,#N/A,FALSE,"019-97";#N/A,#N/A,FALSE,"021-97";#N/A,#N/A,FALSE,"022-97";#N/A,#N/A,FALSE,"028-97"}</definedName>
    <definedName name="Pendências2" localSheetId="4" hidden="1">{#N/A,#N/A,FALSE,"GERAL";#N/A,#N/A,FALSE,"012-96";#N/A,#N/A,FALSE,"018-96";#N/A,#N/A,FALSE,"027-96";#N/A,#N/A,FALSE,"059-96";#N/A,#N/A,FALSE,"076-96";#N/A,#N/A,FALSE,"019-97";#N/A,#N/A,FALSE,"021-97";#N/A,#N/A,FALSE,"022-97";#N/A,#N/A,FALSE,"028-97"}</definedName>
    <definedName name="Pendências2" hidden="1">{#N/A,#N/A,FALSE,"GERAL";#N/A,#N/A,FALSE,"012-96";#N/A,#N/A,FALSE,"018-96";#N/A,#N/A,FALSE,"027-96";#N/A,#N/A,FALSE,"059-96";#N/A,#N/A,FALSE,"076-96";#N/A,#N/A,FALSE,"019-97";#N/A,#N/A,FALSE,"021-97";#N/A,#N/A,FALSE,"022-97";#N/A,#N/A,FALSE,"028-97"}</definedName>
    <definedName name="Pendências3" localSheetId="3" hidden="1">{#N/A,#N/A,FALSE,"GERAL";#N/A,#N/A,FALSE,"012-96";#N/A,#N/A,FALSE,"018-96";#N/A,#N/A,FALSE,"027-96";#N/A,#N/A,FALSE,"059-96";#N/A,#N/A,FALSE,"076-96";#N/A,#N/A,FALSE,"019-97";#N/A,#N/A,FALSE,"021-97";#N/A,#N/A,FALSE,"022-97";#N/A,#N/A,FALSE,"028-97"}</definedName>
    <definedName name="Pendências3" localSheetId="6" hidden="1">{#N/A,#N/A,FALSE,"GERAL";#N/A,#N/A,FALSE,"012-96";#N/A,#N/A,FALSE,"018-96";#N/A,#N/A,FALSE,"027-96";#N/A,#N/A,FALSE,"059-96";#N/A,#N/A,FALSE,"076-96";#N/A,#N/A,FALSE,"019-97";#N/A,#N/A,FALSE,"021-97";#N/A,#N/A,FALSE,"022-97";#N/A,#N/A,FALSE,"028-97"}</definedName>
    <definedName name="Pendências3" localSheetId="7" hidden="1">{#N/A,#N/A,FALSE,"GERAL";#N/A,#N/A,FALSE,"012-96";#N/A,#N/A,FALSE,"018-96";#N/A,#N/A,FALSE,"027-96";#N/A,#N/A,FALSE,"059-96";#N/A,#N/A,FALSE,"076-96";#N/A,#N/A,FALSE,"019-97";#N/A,#N/A,FALSE,"021-97";#N/A,#N/A,FALSE,"022-97";#N/A,#N/A,FALSE,"028-97"}</definedName>
    <definedName name="Pendências3" localSheetId="10" hidden="1">{#N/A,#N/A,FALSE,"GERAL";#N/A,#N/A,FALSE,"012-96";#N/A,#N/A,FALSE,"018-96";#N/A,#N/A,FALSE,"027-96";#N/A,#N/A,FALSE,"059-96";#N/A,#N/A,FALSE,"076-96";#N/A,#N/A,FALSE,"019-97";#N/A,#N/A,FALSE,"021-97";#N/A,#N/A,FALSE,"022-97";#N/A,#N/A,FALSE,"028-97"}</definedName>
    <definedName name="Pendências3" localSheetId="11" hidden="1">{#N/A,#N/A,FALSE,"GERAL";#N/A,#N/A,FALSE,"012-96";#N/A,#N/A,FALSE,"018-96";#N/A,#N/A,FALSE,"027-96";#N/A,#N/A,FALSE,"059-96";#N/A,#N/A,FALSE,"076-96";#N/A,#N/A,FALSE,"019-97";#N/A,#N/A,FALSE,"021-97";#N/A,#N/A,FALSE,"022-97";#N/A,#N/A,FALSE,"028-97"}</definedName>
    <definedName name="Pendências3" localSheetId="5" hidden="1">{#N/A,#N/A,FALSE,"GERAL";#N/A,#N/A,FALSE,"012-96";#N/A,#N/A,FALSE,"018-96";#N/A,#N/A,FALSE,"027-96";#N/A,#N/A,FALSE,"059-96";#N/A,#N/A,FALSE,"076-96";#N/A,#N/A,FALSE,"019-97";#N/A,#N/A,FALSE,"021-97";#N/A,#N/A,FALSE,"022-97";#N/A,#N/A,FALSE,"028-97"}</definedName>
    <definedName name="Pendências3" localSheetId="4" hidden="1">{#N/A,#N/A,FALSE,"GERAL";#N/A,#N/A,FALSE,"012-96";#N/A,#N/A,FALSE,"018-96";#N/A,#N/A,FALSE,"027-96";#N/A,#N/A,FALSE,"059-96";#N/A,#N/A,FALSE,"076-96";#N/A,#N/A,FALSE,"019-97";#N/A,#N/A,FALSE,"021-97";#N/A,#N/A,FALSE,"022-97";#N/A,#N/A,FALSE,"028-97"}</definedName>
    <definedName name="Pendências3" hidden="1">{#N/A,#N/A,FALSE,"GERAL";#N/A,#N/A,FALSE,"012-96";#N/A,#N/A,FALSE,"018-96";#N/A,#N/A,FALSE,"027-96";#N/A,#N/A,FALSE,"059-96";#N/A,#N/A,FALSE,"076-96";#N/A,#N/A,FALSE,"019-97";#N/A,#N/A,FALSE,"021-97";#N/A,#N/A,FALSE,"022-97";#N/A,#N/A,FALSE,"028-97"}</definedName>
    <definedName name="PERSONAL" localSheetId="3" hidden="1">{#N/A,#N/A,FALSE,"310.1";#N/A,#N/A,FALSE,"321.1";#N/A,#N/A,FALSE,"320.3";#N/A,#N/A,FALSE,"330.1"}</definedName>
    <definedName name="PERSONAL" localSheetId="6" hidden="1">{#N/A,#N/A,FALSE,"310.1";#N/A,#N/A,FALSE,"321.1";#N/A,#N/A,FALSE,"320.3";#N/A,#N/A,FALSE,"330.1"}</definedName>
    <definedName name="PERSONAL" localSheetId="7" hidden="1">{#N/A,#N/A,FALSE,"310.1";#N/A,#N/A,FALSE,"321.1";#N/A,#N/A,FALSE,"320.3";#N/A,#N/A,FALSE,"330.1"}</definedName>
    <definedName name="PERSONAL" localSheetId="10" hidden="1">{#N/A,#N/A,FALSE,"310.1";#N/A,#N/A,FALSE,"321.1";#N/A,#N/A,FALSE,"320.3";#N/A,#N/A,FALSE,"330.1"}</definedName>
    <definedName name="PERSONAL" localSheetId="11" hidden="1">{#N/A,#N/A,FALSE,"310.1";#N/A,#N/A,FALSE,"321.1";#N/A,#N/A,FALSE,"320.3";#N/A,#N/A,FALSE,"330.1"}</definedName>
    <definedName name="PERSONAL" localSheetId="5" hidden="1">{#N/A,#N/A,FALSE,"310.1";#N/A,#N/A,FALSE,"321.1";#N/A,#N/A,FALSE,"320.3";#N/A,#N/A,FALSE,"330.1"}</definedName>
    <definedName name="PERSONAL" localSheetId="4" hidden="1">{#N/A,#N/A,FALSE,"310.1";#N/A,#N/A,FALSE,"321.1";#N/A,#N/A,FALSE,"320.3";#N/A,#N/A,FALSE,"330.1"}</definedName>
    <definedName name="PERSONAL" hidden="1">{#N/A,#N/A,FALSE,"310.1";#N/A,#N/A,FALSE,"321.1";#N/A,#N/A,FALSE,"320.3";#N/A,#N/A,FALSE,"330.1"}</definedName>
    <definedName name="PEV" localSheetId="3" hidden="1">{"'Quadro'!$A$4:$BG$78"}</definedName>
    <definedName name="PEV" localSheetId="6" hidden="1">{"'Quadro'!$A$4:$BG$78"}</definedName>
    <definedName name="PEV" localSheetId="7" hidden="1">{"'Quadro'!$A$4:$BG$78"}</definedName>
    <definedName name="PEV" localSheetId="10" hidden="1">{"'Quadro'!$A$4:$BG$78"}</definedName>
    <definedName name="PEV" localSheetId="11" hidden="1">{"'Quadro'!$A$4:$BG$78"}</definedName>
    <definedName name="PEV" localSheetId="5" hidden="1">{"'Quadro'!$A$4:$BG$78"}</definedName>
    <definedName name="PEV" localSheetId="4" hidden="1">{"'Quadro'!$A$4:$BG$78"}</definedName>
    <definedName name="PEV" hidden="1">{"'Quadro'!$A$4:$BG$78"}</definedName>
    <definedName name="PINTURA">#N/A</definedName>
    <definedName name="plamnsj" localSheetId="3" hidden="1">{#N/A,#N/A,TRUE,"Summary";#N/A,#N/A,TRUE,"Worksheet";#N/A,#N/A,TRUE,"CashFlow"}</definedName>
    <definedName name="plamnsj" localSheetId="6" hidden="1">{#N/A,#N/A,TRUE,"Summary";#N/A,#N/A,TRUE,"Worksheet";#N/A,#N/A,TRUE,"CashFlow"}</definedName>
    <definedName name="plamnsj" localSheetId="7" hidden="1">{#N/A,#N/A,TRUE,"Summary";#N/A,#N/A,TRUE,"Worksheet";#N/A,#N/A,TRUE,"CashFlow"}</definedName>
    <definedName name="plamnsj" localSheetId="10" hidden="1">{#N/A,#N/A,TRUE,"Summary";#N/A,#N/A,TRUE,"Worksheet";#N/A,#N/A,TRUE,"CashFlow"}</definedName>
    <definedName name="plamnsj" localSheetId="11" hidden="1">{#N/A,#N/A,TRUE,"Summary";#N/A,#N/A,TRUE,"Worksheet";#N/A,#N/A,TRUE,"CashFlow"}</definedName>
    <definedName name="plamnsj" localSheetId="5" hidden="1">{#N/A,#N/A,TRUE,"Summary";#N/A,#N/A,TRUE,"Worksheet";#N/A,#N/A,TRUE,"CashFlow"}</definedName>
    <definedName name="plamnsj" localSheetId="4" hidden="1">{#N/A,#N/A,TRUE,"Summary";#N/A,#N/A,TRUE,"Worksheet";#N/A,#N/A,TRUE,"CashFlow"}</definedName>
    <definedName name="plamnsj" hidden="1">{#N/A,#N/A,TRUE,"Summary";#N/A,#N/A,TRUE,"Worksheet";#N/A,#N/A,TRUE,"CashFlow"}</definedName>
    <definedName name="plan" localSheetId="3" hidden="1">#REF!</definedName>
    <definedName name="plan" localSheetId="6" hidden="1">#REF!</definedName>
    <definedName name="plan" localSheetId="7" hidden="1">#REF!</definedName>
    <definedName name="plan" localSheetId="10" hidden="1">#REF!</definedName>
    <definedName name="plan" localSheetId="11" hidden="1">#REF!</definedName>
    <definedName name="plan" hidden="1">#REF!</definedName>
    <definedName name="pnow" localSheetId="3" hidden="1">{"'gráf jan00'!$A$1:$AK$41"}</definedName>
    <definedName name="pnow" localSheetId="6" hidden="1">{"'gráf jan00'!$A$1:$AK$41"}</definedName>
    <definedName name="pnow" localSheetId="7" hidden="1">{"'gráf jan00'!$A$1:$AK$41"}</definedName>
    <definedName name="pnow" localSheetId="10" hidden="1">{"'gráf jan00'!$A$1:$AK$41"}</definedName>
    <definedName name="pnow" localSheetId="11" hidden="1">{"'gráf jan00'!$A$1:$AK$41"}</definedName>
    <definedName name="pnow" localSheetId="5" hidden="1">{"'gráf jan00'!$A$1:$AK$41"}</definedName>
    <definedName name="pnow" localSheetId="4" hidden="1">{"'gráf jan00'!$A$1:$AK$41"}</definedName>
    <definedName name="pnow" hidden="1">{"'gráf jan00'!$A$1:$AK$41"}</definedName>
    <definedName name="POIUYT" localSheetId="3" hidden="1">{"'REL CUSTODIF'!$B$1:$H$72"}</definedName>
    <definedName name="POIUYT" localSheetId="6" hidden="1">{"'REL CUSTODIF'!$B$1:$H$72"}</definedName>
    <definedName name="POIUYT" localSheetId="7" hidden="1">{"'REL CUSTODIF'!$B$1:$H$72"}</definedName>
    <definedName name="POIUYT" localSheetId="10" hidden="1">{"'REL CUSTODIF'!$B$1:$H$72"}</definedName>
    <definedName name="POIUYT" localSheetId="11" hidden="1">{"'REL CUSTODIF'!$B$1:$H$72"}</definedName>
    <definedName name="POIUYT" localSheetId="5" hidden="1">{"'REL CUSTODIF'!$B$1:$H$72"}</definedName>
    <definedName name="POIUYT" localSheetId="4" hidden="1">{"'REL CUSTODIF'!$B$1:$H$72"}</definedName>
    <definedName name="POIUYT" hidden="1">{"'REL CUSTODIF'!$B$1:$H$72"}</definedName>
    <definedName name="Portos1" localSheetId="3" hidden="1">{"'RR'!$A$2:$E$81"}</definedName>
    <definedName name="Portos1" localSheetId="6" hidden="1">{"'RR'!$A$2:$E$81"}</definedName>
    <definedName name="Portos1" localSheetId="7" hidden="1">{"'RR'!$A$2:$E$81"}</definedName>
    <definedName name="Portos1" localSheetId="10" hidden="1">{"'RR'!$A$2:$E$81"}</definedName>
    <definedName name="Portos1" localSheetId="11" hidden="1">{"'RR'!$A$2:$E$81"}</definedName>
    <definedName name="Portos1" localSheetId="5" hidden="1">{"'RR'!$A$2:$E$81"}</definedName>
    <definedName name="Portos1" localSheetId="4" hidden="1">{"'RR'!$A$2:$E$81"}</definedName>
    <definedName name="Portos1" hidden="1">{"'RR'!$A$2:$E$81"}</definedName>
    <definedName name="PORTU" localSheetId="3" hidden="1">{"'REL CUSTODIF'!$B$1:$H$72"}</definedName>
    <definedName name="PORTU" localSheetId="6" hidden="1">{"'REL CUSTODIF'!$B$1:$H$72"}</definedName>
    <definedName name="PORTU" localSheetId="7" hidden="1">{"'REL CUSTODIF'!$B$1:$H$72"}</definedName>
    <definedName name="PORTU" localSheetId="10" hidden="1">{"'REL CUSTODIF'!$B$1:$H$72"}</definedName>
    <definedName name="PORTU" localSheetId="11" hidden="1">{"'REL CUSTODIF'!$B$1:$H$72"}</definedName>
    <definedName name="PORTU" localSheetId="5" hidden="1">{"'REL CUSTODIF'!$B$1:$H$72"}</definedName>
    <definedName name="PORTU" localSheetId="4" hidden="1">{"'REL CUSTODIF'!$B$1:$H$72"}</definedName>
    <definedName name="PORTU" hidden="1">{"'REL CUSTODIF'!$B$1:$H$72"}</definedName>
    <definedName name="PPRA" localSheetId="3" hidden="1">{"'CptDifn'!$AA$32:$AG$32"}</definedName>
    <definedName name="PPRA" localSheetId="6" hidden="1">{"'CptDifn'!$AA$32:$AG$32"}</definedName>
    <definedName name="PPRA" localSheetId="7" hidden="1">{"'CptDifn'!$AA$32:$AG$32"}</definedName>
    <definedName name="PPRA" localSheetId="10" hidden="1">{"'CptDifn'!$AA$32:$AG$32"}</definedName>
    <definedName name="PPRA" localSheetId="11" hidden="1">{"'CptDifn'!$AA$32:$AG$32"}</definedName>
    <definedName name="PPRA" localSheetId="5" hidden="1">{"'CptDifn'!$AA$32:$AG$32"}</definedName>
    <definedName name="PPRA" localSheetId="4" hidden="1">{"'CptDifn'!$AA$32:$AG$32"}</definedName>
    <definedName name="PPRA" hidden="1">{"'CptDifn'!$AA$32:$AG$32"}</definedName>
    <definedName name="PRE">#REF!</definedName>
    <definedName name="Preços_RJ">'[13]$Preços'!$B$36:$L$1087</definedName>
    <definedName name="Preços_SP">'[13]$Preços'!$B$36:$H$1087</definedName>
    <definedName name="premissas" localSheetId="3" hidden="1">#REF!</definedName>
    <definedName name="premissas" localSheetId="6" hidden="1">#REF!</definedName>
    <definedName name="premissas" localSheetId="7" hidden="1">#REF!</definedName>
    <definedName name="premissas" localSheetId="10" hidden="1">#REF!</definedName>
    <definedName name="premissas" localSheetId="11" hidden="1">#REF!</definedName>
    <definedName name="premissas" hidden="1">#REF!</definedName>
    <definedName name="Previsao" localSheetId="3" hidden="1">{"'Índice'!$A$1:$K$49"}</definedName>
    <definedName name="Previsao" localSheetId="6" hidden="1">{"'Índice'!$A$1:$K$49"}</definedName>
    <definedName name="Previsao" localSheetId="7" hidden="1">{"'Índice'!$A$1:$K$49"}</definedName>
    <definedName name="Previsao" localSheetId="10" hidden="1">{"'Índice'!$A$1:$K$49"}</definedName>
    <definedName name="Previsao" localSheetId="11" hidden="1">{"'Índice'!$A$1:$K$49"}</definedName>
    <definedName name="Previsao" localSheetId="5" hidden="1">{"'Índice'!$A$1:$K$49"}</definedName>
    <definedName name="Previsao" localSheetId="4" hidden="1">{"'Índice'!$A$1:$K$49"}</definedName>
    <definedName name="Previsao" hidden="1">{"'Índice'!$A$1:$K$49"}</definedName>
    <definedName name="Prog.Excel._Set" localSheetId="3" hidden="1">{"'teste'!$B$2:$R$49"}</definedName>
    <definedName name="Prog.Excel._Set" localSheetId="6" hidden="1">{"'teste'!$B$2:$R$49"}</definedName>
    <definedName name="Prog.Excel._Set" localSheetId="7" hidden="1">{"'teste'!$B$2:$R$49"}</definedName>
    <definedName name="Prog.Excel._Set" localSheetId="10" hidden="1">{"'teste'!$B$2:$R$49"}</definedName>
    <definedName name="Prog.Excel._Set" localSheetId="11" hidden="1">{"'teste'!$B$2:$R$49"}</definedName>
    <definedName name="Prog.Excel._Set" localSheetId="5" hidden="1">{"'teste'!$B$2:$R$49"}</definedName>
    <definedName name="Prog.Excel._Set" localSheetId="4" hidden="1">{"'teste'!$B$2:$R$49"}</definedName>
    <definedName name="Prog.Excel._Set" hidden="1">{"'teste'!$B$2:$R$49"}</definedName>
    <definedName name="proposta" localSheetId="3" hidden="1">{"'Quadro'!$A$4:$BG$78"}</definedName>
    <definedName name="proposta" localSheetId="6" hidden="1">{"'Quadro'!$A$4:$BG$78"}</definedName>
    <definedName name="proposta" localSheetId="7" hidden="1">{"'Quadro'!$A$4:$BG$78"}</definedName>
    <definedName name="proposta" localSheetId="10" hidden="1">{"'Quadro'!$A$4:$BG$78"}</definedName>
    <definedName name="proposta" localSheetId="11" hidden="1">{"'Quadro'!$A$4:$BG$78"}</definedName>
    <definedName name="proposta" localSheetId="5" hidden="1">{"'Quadro'!$A$4:$BG$78"}</definedName>
    <definedName name="proposta" localSheetId="4" hidden="1">{"'Quadro'!$A$4:$BG$78"}</definedName>
    <definedName name="proposta" hidden="1">{"'Quadro'!$A$4:$BG$78"}</definedName>
    <definedName name="PRRA" localSheetId="3" hidden="1">{"'CptDifn'!$AA$32:$AG$32"}</definedName>
    <definedName name="PRRA" localSheetId="6" hidden="1">{"'CptDifn'!$AA$32:$AG$32"}</definedName>
    <definedName name="PRRA" localSheetId="7" hidden="1">{"'CptDifn'!$AA$32:$AG$32"}</definedName>
    <definedName name="PRRA" localSheetId="10" hidden="1">{"'CptDifn'!$AA$32:$AG$32"}</definedName>
    <definedName name="PRRA" localSheetId="11" hidden="1">{"'CptDifn'!$AA$32:$AG$32"}</definedName>
    <definedName name="PRRA" localSheetId="5" hidden="1">{"'CptDifn'!$AA$32:$AG$32"}</definedName>
    <definedName name="PRRA" localSheetId="4" hidden="1">{"'CptDifn'!$AA$32:$AG$32"}</definedName>
    <definedName name="PRRA" hidden="1">{"'CptDifn'!$AA$32:$AG$32"}</definedName>
    <definedName name="prs" localSheetId="3" hidden="1">{#N/A,#N/A,FALSE,"310.1";#N/A,#N/A,FALSE,"321.1";#N/A,#N/A,FALSE,"320.3";#N/A,#N/A,FALSE,"330.1"}</definedName>
    <definedName name="prs" localSheetId="6" hidden="1">{#N/A,#N/A,FALSE,"310.1";#N/A,#N/A,FALSE,"321.1";#N/A,#N/A,FALSE,"320.3";#N/A,#N/A,FALSE,"330.1"}</definedName>
    <definedName name="prs" localSheetId="7" hidden="1">{#N/A,#N/A,FALSE,"310.1";#N/A,#N/A,FALSE,"321.1";#N/A,#N/A,FALSE,"320.3";#N/A,#N/A,FALSE,"330.1"}</definedName>
    <definedName name="prs" localSheetId="10" hidden="1">{#N/A,#N/A,FALSE,"310.1";#N/A,#N/A,FALSE,"321.1";#N/A,#N/A,FALSE,"320.3";#N/A,#N/A,FALSE,"330.1"}</definedName>
    <definedName name="prs" localSheetId="11" hidden="1">{#N/A,#N/A,FALSE,"310.1";#N/A,#N/A,FALSE,"321.1";#N/A,#N/A,FALSE,"320.3";#N/A,#N/A,FALSE,"330.1"}</definedName>
    <definedName name="prs" localSheetId="5" hidden="1">{#N/A,#N/A,FALSE,"310.1";#N/A,#N/A,FALSE,"321.1";#N/A,#N/A,FALSE,"320.3";#N/A,#N/A,FALSE,"330.1"}</definedName>
    <definedName name="prs" localSheetId="4" hidden="1">{#N/A,#N/A,FALSE,"310.1";#N/A,#N/A,FALSE,"321.1";#N/A,#N/A,FALSE,"320.3";#N/A,#N/A,FALSE,"330.1"}</definedName>
    <definedName name="prs" hidden="1">{#N/A,#N/A,FALSE,"310.1";#N/A,#N/A,FALSE,"321.1";#N/A,#N/A,FALSE,"320.3";#N/A,#N/A,FALSE,"330.1"}</definedName>
    <definedName name="q" localSheetId="3" hidden="1">{"'Índice'!$A$1:$K$49"}</definedName>
    <definedName name="q" localSheetId="6" hidden="1">{"'Índice'!$A$1:$K$49"}</definedName>
    <definedName name="q" localSheetId="7" hidden="1">{"'Índice'!$A$1:$K$49"}</definedName>
    <definedName name="q" localSheetId="10" hidden="1">{"'Índice'!$A$1:$K$49"}</definedName>
    <definedName name="q" localSheetId="11" hidden="1">{"'Índice'!$A$1:$K$49"}</definedName>
    <definedName name="q" localSheetId="5" hidden="1">{"'Índice'!$A$1:$K$49"}</definedName>
    <definedName name="q" localSheetId="4" hidden="1">{"'Índice'!$A$1:$K$49"}</definedName>
    <definedName name="q" hidden="1">{"'Índice'!$A$1:$K$49"}</definedName>
    <definedName name="qq" localSheetId="3"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qq" localSheetId="6"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qq" localSheetId="7"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qq" localSheetId="10"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qq" localSheetId="1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qq" localSheetId="5"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qq" localSheetId="4"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qq" localSheetId="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qq" localSheetId="2"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qq"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QQP" localSheetId="3" hidden="1">{#N/A,#N/A,FALSE,"GERAL";#N/A,#N/A,FALSE,"012-96";#N/A,#N/A,FALSE,"018-96";#N/A,#N/A,FALSE,"027-96";#N/A,#N/A,FALSE,"059-96";#N/A,#N/A,FALSE,"076-96";#N/A,#N/A,FALSE,"019-97";#N/A,#N/A,FALSE,"021-97";#N/A,#N/A,FALSE,"022-97";#N/A,#N/A,FALSE,"028-97"}</definedName>
    <definedName name="QQP" localSheetId="6" hidden="1">{#N/A,#N/A,FALSE,"GERAL";#N/A,#N/A,FALSE,"012-96";#N/A,#N/A,FALSE,"018-96";#N/A,#N/A,FALSE,"027-96";#N/A,#N/A,FALSE,"059-96";#N/A,#N/A,FALSE,"076-96";#N/A,#N/A,FALSE,"019-97";#N/A,#N/A,FALSE,"021-97";#N/A,#N/A,FALSE,"022-97";#N/A,#N/A,FALSE,"028-97"}</definedName>
    <definedName name="QQP" localSheetId="7" hidden="1">{#N/A,#N/A,FALSE,"GERAL";#N/A,#N/A,FALSE,"012-96";#N/A,#N/A,FALSE,"018-96";#N/A,#N/A,FALSE,"027-96";#N/A,#N/A,FALSE,"059-96";#N/A,#N/A,FALSE,"076-96";#N/A,#N/A,FALSE,"019-97";#N/A,#N/A,FALSE,"021-97";#N/A,#N/A,FALSE,"022-97";#N/A,#N/A,FALSE,"028-97"}</definedName>
    <definedName name="QQP" localSheetId="10" hidden="1">{#N/A,#N/A,FALSE,"GERAL";#N/A,#N/A,FALSE,"012-96";#N/A,#N/A,FALSE,"018-96";#N/A,#N/A,FALSE,"027-96";#N/A,#N/A,FALSE,"059-96";#N/A,#N/A,FALSE,"076-96";#N/A,#N/A,FALSE,"019-97";#N/A,#N/A,FALSE,"021-97";#N/A,#N/A,FALSE,"022-97";#N/A,#N/A,FALSE,"028-97"}</definedName>
    <definedName name="QQP" localSheetId="11" hidden="1">{#N/A,#N/A,FALSE,"GERAL";#N/A,#N/A,FALSE,"012-96";#N/A,#N/A,FALSE,"018-96";#N/A,#N/A,FALSE,"027-96";#N/A,#N/A,FALSE,"059-96";#N/A,#N/A,FALSE,"076-96";#N/A,#N/A,FALSE,"019-97";#N/A,#N/A,FALSE,"021-97";#N/A,#N/A,FALSE,"022-97";#N/A,#N/A,FALSE,"028-97"}</definedName>
    <definedName name="QQP" localSheetId="5" hidden="1">{#N/A,#N/A,FALSE,"GERAL";#N/A,#N/A,FALSE,"012-96";#N/A,#N/A,FALSE,"018-96";#N/A,#N/A,FALSE,"027-96";#N/A,#N/A,FALSE,"059-96";#N/A,#N/A,FALSE,"076-96";#N/A,#N/A,FALSE,"019-97";#N/A,#N/A,FALSE,"021-97";#N/A,#N/A,FALSE,"022-97";#N/A,#N/A,FALSE,"028-97"}</definedName>
    <definedName name="QQP" localSheetId="4" hidden="1">{#N/A,#N/A,FALSE,"GERAL";#N/A,#N/A,FALSE,"012-96";#N/A,#N/A,FALSE,"018-96";#N/A,#N/A,FALSE,"027-96";#N/A,#N/A,FALSE,"059-96";#N/A,#N/A,FALSE,"076-96";#N/A,#N/A,FALSE,"019-97";#N/A,#N/A,FALSE,"021-97";#N/A,#N/A,FALSE,"022-97";#N/A,#N/A,FALSE,"028-97"}</definedName>
    <definedName name="QQP" hidden="1">{#N/A,#N/A,FALSE,"GERAL";#N/A,#N/A,FALSE,"012-96";#N/A,#N/A,FALSE,"018-96";#N/A,#N/A,FALSE,"027-96";#N/A,#N/A,FALSE,"059-96";#N/A,#N/A,FALSE,"076-96";#N/A,#N/A,FALSE,"019-97";#N/A,#N/A,FALSE,"021-97";#N/A,#N/A,FALSE,"022-97";#N/A,#N/A,FALSE,"028-97"}</definedName>
    <definedName name="qqq" localSheetId="3" hidden="1">{#N/A,#N/A,FALSE,"cpt"}</definedName>
    <definedName name="qqq" localSheetId="6" hidden="1">{#N/A,#N/A,FALSE,"cpt"}</definedName>
    <definedName name="qqq" localSheetId="7" hidden="1">{#N/A,#N/A,FALSE,"cpt"}</definedName>
    <definedName name="qqq" localSheetId="10" hidden="1">{#N/A,#N/A,FALSE,"cpt"}</definedName>
    <definedName name="qqq" localSheetId="11" hidden="1">{#N/A,#N/A,FALSE,"cpt"}</definedName>
    <definedName name="qqq" localSheetId="5" hidden="1">{#N/A,#N/A,FALSE,"cpt"}</definedName>
    <definedName name="qqq" localSheetId="4" hidden="1">{#N/A,#N/A,FALSE,"cpt"}</definedName>
    <definedName name="qqq" localSheetId="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qqq" localSheetId="2"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qqq"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qqqq" localSheetId="3"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qqqq" localSheetId="6"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qqqq" localSheetId="7"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qqqq" localSheetId="10"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qqqq" localSheetId="1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qqqq" localSheetId="5"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qqqq" localSheetId="4"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qqqq" localSheetId="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qqqq" localSheetId="2"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qqqq"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qqqqq" localSheetId="3"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qqqqq" localSheetId="6"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qqqqq" localSheetId="7"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qqqqq" localSheetId="10"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qqqqq" localSheetId="1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qqqqq" localSheetId="5"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qqqqq" localSheetId="4"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qqqqq" localSheetId="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qqqqq" localSheetId="2"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qqqqq"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qqqqqq" localSheetId="3" hidden="1">{"VENTAS1",#N/A,FALSE,"VENTAS";"VENTAS2",#N/A,FALSE,"VENTAS";"VENTAS3",#N/A,FALSE,"VENTAS";"VENTAS4",#N/A,FALSE,"VENTAS";"VENTAS5",#N/A,FALSE,"VENTAS";"VENTAS6",#N/A,FALSE,"VENTAS";"VENTAS7",#N/A,FALSE,"VENTAS";"VENTAS8",#N/A,FALSE,"VENTAS"}</definedName>
    <definedName name="qqqqqq" localSheetId="6" hidden="1">{"VENTAS1",#N/A,FALSE,"VENTAS";"VENTAS2",#N/A,FALSE,"VENTAS";"VENTAS3",#N/A,FALSE,"VENTAS";"VENTAS4",#N/A,FALSE,"VENTAS";"VENTAS5",#N/A,FALSE,"VENTAS";"VENTAS6",#N/A,FALSE,"VENTAS";"VENTAS7",#N/A,FALSE,"VENTAS";"VENTAS8",#N/A,FALSE,"VENTAS"}</definedName>
    <definedName name="qqqqqq" localSheetId="7" hidden="1">{"VENTAS1",#N/A,FALSE,"VENTAS";"VENTAS2",#N/A,FALSE,"VENTAS";"VENTAS3",#N/A,FALSE,"VENTAS";"VENTAS4",#N/A,FALSE,"VENTAS";"VENTAS5",#N/A,FALSE,"VENTAS";"VENTAS6",#N/A,FALSE,"VENTAS";"VENTAS7",#N/A,FALSE,"VENTAS";"VENTAS8",#N/A,FALSE,"VENTAS"}</definedName>
    <definedName name="qqqqqq" localSheetId="10" hidden="1">{"VENTAS1",#N/A,FALSE,"VENTAS";"VENTAS2",#N/A,FALSE,"VENTAS";"VENTAS3",#N/A,FALSE,"VENTAS";"VENTAS4",#N/A,FALSE,"VENTAS";"VENTAS5",#N/A,FALSE,"VENTAS";"VENTAS6",#N/A,FALSE,"VENTAS";"VENTAS7",#N/A,FALSE,"VENTAS";"VENTAS8",#N/A,FALSE,"VENTAS"}</definedName>
    <definedName name="qqqqqq" localSheetId="11" hidden="1">{"VENTAS1",#N/A,FALSE,"VENTAS";"VENTAS2",#N/A,FALSE,"VENTAS";"VENTAS3",#N/A,FALSE,"VENTAS";"VENTAS4",#N/A,FALSE,"VENTAS";"VENTAS5",#N/A,FALSE,"VENTAS";"VENTAS6",#N/A,FALSE,"VENTAS";"VENTAS7",#N/A,FALSE,"VENTAS";"VENTAS8",#N/A,FALSE,"VENTAS"}</definedName>
    <definedName name="qqqqqq" localSheetId="5" hidden="1">{"VENTAS1",#N/A,FALSE,"VENTAS";"VENTAS2",#N/A,FALSE,"VENTAS";"VENTAS3",#N/A,FALSE,"VENTAS";"VENTAS4",#N/A,FALSE,"VENTAS";"VENTAS5",#N/A,FALSE,"VENTAS";"VENTAS6",#N/A,FALSE,"VENTAS";"VENTAS7",#N/A,FALSE,"VENTAS";"VENTAS8",#N/A,FALSE,"VENTAS"}</definedName>
    <definedName name="qqqqqq" localSheetId="4" hidden="1">{"VENTAS1",#N/A,FALSE,"VENTAS";"VENTAS2",#N/A,FALSE,"VENTAS";"VENTAS3",#N/A,FALSE,"VENTAS";"VENTAS4",#N/A,FALSE,"VENTAS";"VENTAS5",#N/A,FALSE,"VENTAS";"VENTAS6",#N/A,FALSE,"VENTAS";"VENTAS7",#N/A,FALSE,"VENTAS";"VENTAS8",#N/A,FALSE,"VENTAS"}</definedName>
    <definedName name="qqqqqq" localSheetId="1" hidden="1">{"VENTAS1",#N/A,FALSE,"VENTAS";"VENTAS2",#N/A,FALSE,"VENTAS";"VENTAS3",#N/A,FALSE,"VENTAS";"VENTAS4",#N/A,FALSE,"VENTAS";"VENTAS5",#N/A,FALSE,"VENTAS";"VENTAS6",#N/A,FALSE,"VENTAS";"VENTAS7",#N/A,FALSE,"VENTAS";"VENTAS8",#N/A,FALSE,"VENTAS"}</definedName>
    <definedName name="qqqqqq" localSheetId="2" hidden="1">{"VENTAS1",#N/A,FALSE,"VENTAS";"VENTAS2",#N/A,FALSE,"VENTAS";"VENTAS3",#N/A,FALSE,"VENTAS";"VENTAS4",#N/A,FALSE,"VENTAS";"VENTAS5",#N/A,FALSE,"VENTAS";"VENTAS6",#N/A,FALSE,"VENTAS";"VENTAS7",#N/A,FALSE,"VENTAS";"VENTAS8",#N/A,FALSE,"VENTAS"}</definedName>
    <definedName name="qqqqqq" hidden="1">{"VENTAS1",#N/A,FALSE,"VENTAS";"VENTAS2",#N/A,FALSE,"VENTAS";"VENTAS3",#N/A,FALSE,"VENTAS";"VENTAS4",#N/A,FALSE,"VENTAS";"VENTAS5",#N/A,FALSE,"VENTAS";"VENTAS6",#N/A,FALSE,"VENTAS";"VENTAS7",#N/A,FALSE,"VENTAS";"VENTAS8",#N/A,FALSE,"VENTAS"}</definedName>
    <definedName name="qqqqqqq" localSheetId="3" hidden="1">{"VENTAS1",#N/A,FALSE,"VENTAS";"VENTAS2",#N/A,FALSE,"VENTAS";"VENTAS3",#N/A,FALSE,"VENTAS";"VENTAS4",#N/A,FALSE,"VENTAS";"VENTAS5",#N/A,FALSE,"VENTAS";"VENTAS6",#N/A,FALSE,"VENTAS";"VENTAS7",#N/A,FALSE,"VENTAS";"VENTAS8",#N/A,FALSE,"VENTAS"}</definedName>
    <definedName name="qqqqqqq" localSheetId="6" hidden="1">{"VENTAS1",#N/A,FALSE,"VENTAS";"VENTAS2",#N/A,FALSE,"VENTAS";"VENTAS3",#N/A,FALSE,"VENTAS";"VENTAS4",#N/A,FALSE,"VENTAS";"VENTAS5",#N/A,FALSE,"VENTAS";"VENTAS6",#N/A,FALSE,"VENTAS";"VENTAS7",#N/A,FALSE,"VENTAS";"VENTAS8",#N/A,FALSE,"VENTAS"}</definedName>
    <definedName name="qqqqqqq" localSheetId="7" hidden="1">{"VENTAS1",#N/A,FALSE,"VENTAS";"VENTAS2",#N/A,FALSE,"VENTAS";"VENTAS3",#N/A,FALSE,"VENTAS";"VENTAS4",#N/A,FALSE,"VENTAS";"VENTAS5",#N/A,FALSE,"VENTAS";"VENTAS6",#N/A,FALSE,"VENTAS";"VENTAS7",#N/A,FALSE,"VENTAS";"VENTAS8",#N/A,FALSE,"VENTAS"}</definedName>
    <definedName name="qqqqqqq" localSheetId="10" hidden="1">{"VENTAS1",#N/A,FALSE,"VENTAS";"VENTAS2",#N/A,FALSE,"VENTAS";"VENTAS3",#N/A,FALSE,"VENTAS";"VENTAS4",#N/A,FALSE,"VENTAS";"VENTAS5",#N/A,FALSE,"VENTAS";"VENTAS6",#N/A,FALSE,"VENTAS";"VENTAS7",#N/A,FALSE,"VENTAS";"VENTAS8",#N/A,FALSE,"VENTAS"}</definedName>
    <definedName name="qqqqqqq" localSheetId="11" hidden="1">{"VENTAS1",#N/A,FALSE,"VENTAS";"VENTAS2",#N/A,FALSE,"VENTAS";"VENTAS3",#N/A,FALSE,"VENTAS";"VENTAS4",#N/A,FALSE,"VENTAS";"VENTAS5",#N/A,FALSE,"VENTAS";"VENTAS6",#N/A,FALSE,"VENTAS";"VENTAS7",#N/A,FALSE,"VENTAS";"VENTAS8",#N/A,FALSE,"VENTAS"}</definedName>
    <definedName name="qqqqqqq" localSheetId="5" hidden="1">{"VENTAS1",#N/A,FALSE,"VENTAS";"VENTAS2",#N/A,FALSE,"VENTAS";"VENTAS3",#N/A,FALSE,"VENTAS";"VENTAS4",#N/A,FALSE,"VENTAS";"VENTAS5",#N/A,FALSE,"VENTAS";"VENTAS6",#N/A,FALSE,"VENTAS";"VENTAS7",#N/A,FALSE,"VENTAS";"VENTAS8",#N/A,FALSE,"VENTAS"}</definedName>
    <definedName name="qqqqqqq" localSheetId="4" hidden="1">{"VENTAS1",#N/A,FALSE,"VENTAS";"VENTAS2",#N/A,FALSE,"VENTAS";"VENTAS3",#N/A,FALSE,"VENTAS";"VENTAS4",#N/A,FALSE,"VENTAS";"VENTAS5",#N/A,FALSE,"VENTAS";"VENTAS6",#N/A,FALSE,"VENTAS";"VENTAS7",#N/A,FALSE,"VENTAS";"VENTAS8",#N/A,FALSE,"VENTAS"}</definedName>
    <definedName name="qqqqqqq" localSheetId="1" hidden="1">{"VENTAS1",#N/A,FALSE,"VENTAS";"VENTAS2",#N/A,FALSE,"VENTAS";"VENTAS3",#N/A,FALSE,"VENTAS";"VENTAS4",#N/A,FALSE,"VENTAS";"VENTAS5",#N/A,FALSE,"VENTAS";"VENTAS6",#N/A,FALSE,"VENTAS";"VENTAS7",#N/A,FALSE,"VENTAS";"VENTAS8",#N/A,FALSE,"VENTAS"}</definedName>
    <definedName name="qqqqqqq" localSheetId="2" hidden="1">{"VENTAS1",#N/A,FALSE,"VENTAS";"VENTAS2",#N/A,FALSE,"VENTAS";"VENTAS3",#N/A,FALSE,"VENTAS";"VENTAS4",#N/A,FALSE,"VENTAS";"VENTAS5",#N/A,FALSE,"VENTAS";"VENTAS6",#N/A,FALSE,"VENTAS";"VENTAS7",#N/A,FALSE,"VENTAS";"VENTAS8",#N/A,FALSE,"VENTAS"}</definedName>
    <definedName name="qqqqqqq" hidden="1">{"VENTAS1",#N/A,FALSE,"VENTAS";"VENTAS2",#N/A,FALSE,"VENTAS";"VENTAS3",#N/A,FALSE,"VENTAS";"VENTAS4",#N/A,FALSE,"VENTAS";"VENTAS5",#N/A,FALSE,"VENTAS";"VENTAS6",#N/A,FALSE,"VENTAS";"VENTAS7",#N/A,FALSE,"VENTAS";"VENTAS8",#N/A,FALSE,"VENTAS"}</definedName>
    <definedName name="qqqqqqqq" localSheetId="3" hidden="1">{TRUE,TRUE,-1.25,-15.5,484.5,276.75,FALSE,TRUE,TRUE,TRUE,0,1,1,300,1,1.96296296296296,1.15384615384615,4,TRUE,TRUE,3,TRUE,1,FALSE,75,"Swvu.Print_Todo.","ACwvu.Print_Todo.",#N/A,FALSE,FALSE,0,0,0,0,2,"","",FALSE,FALSE,TRUE,FALSE,1,#N/A,2,10,"=R1C1:R636C40",FALSE,#N/A,#N/A,FALSE,FALSE,FALSE,9,300,300,FALSE,TRUE,TRUE,TRUE,TRUE}</definedName>
    <definedName name="qqqqqqqq" localSheetId="6" hidden="1">{TRUE,TRUE,-1.25,-15.5,484.5,276.75,FALSE,TRUE,TRUE,TRUE,0,1,1,300,1,1.96296296296296,1.15384615384615,4,TRUE,TRUE,3,TRUE,1,FALSE,75,"Swvu.Print_Todo.","ACwvu.Print_Todo.",#N/A,FALSE,FALSE,0,0,0,0,2,"","",FALSE,FALSE,TRUE,FALSE,1,#N/A,2,10,"=R1C1:R636C40",FALSE,#N/A,#N/A,FALSE,FALSE,FALSE,9,300,300,FALSE,TRUE,TRUE,TRUE,TRUE}</definedName>
    <definedName name="qqqqqqqq" localSheetId="7" hidden="1">{TRUE,TRUE,-1.25,-15.5,484.5,276.75,FALSE,TRUE,TRUE,TRUE,0,1,1,300,1,1.96296296296296,1.15384615384615,4,TRUE,TRUE,3,TRUE,1,FALSE,75,"Swvu.Print_Todo.","ACwvu.Print_Todo.",#N/A,FALSE,FALSE,0,0,0,0,2,"","",FALSE,FALSE,TRUE,FALSE,1,#N/A,2,10,"=R1C1:R636C40",FALSE,#N/A,#N/A,FALSE,FALSE,FALSE,9,300,300,FALSE,TRUE,TRUE,TRUE,TRUE}</definedName>
    <definedName name="qqqqqqqq" localSheetId="10" hidden="1">{TRUE,TRUE,-1.25,-15.5,484.5,276.75,FALSE,TRUE,TRUE,TRUE,0,1,1,300,1,1.96296296296296,1.15384615384615,4,TRUE,TRUE,3,TRUE,1,FALSE,75,"Swvu.Print_Todo.","ACwvu.Print_Todo.",#N/A,FALSE,FALSE,0,0,0,0,2,"","",FALSE,FALSE,TRUE,FALSE,1,#N/A,2,10,"=R1C1:R636C40",FALSE,#N/A,#N/A,FALSE,FALSE,FALSE,9,300,300,FALSE,TRUE,TRUE,TRUE,TRUE}</definedName>
    <definedName name="qqqqqqqq" localSheetId="11" hidden="1">{TRUE,TRUE,-1.25,-15.5,484.5,276.75,FALSE,TRUE,TRUE,TRUE,0,1,1,300,1,1.96296296296296,1.15384615384615,4,TRUE,TRUE,3,TRUE,1,FALSE,75,"Swvu.Print_Todo.","ACwvu.Print_Todo.",#N/A,FALSE,FALSE,0,0,0,0,2,"","",FALSE,FALSE,TRUE,FALSE,1,#N/A,2,10,"=R1C1:R636C40",FALSE,#N/A,#N/A,FALSE,FALSE,FALSE,9,300,300,FALSE,TRUE,TRUE,TRUE,TRUE}</definedName>
    <definedName name="qqqqqqqq" localSheetId="5" hidden="1">{TRUE,TRUE,-1.25,-15.5,484.5,276.75,FALSE,TRUE,TRUE,TRUE,0,1,1,300,1,1.96296296296296,1.15384615384615,4,TRUE,TRUE,3,TRUE,1,FALSE,75,"Swvu.Print_Todo.","ACwvu.Print_Todo.",#N/A,FALSE,FALSE,0,0,0,0,2,"","",FALSE,FALSE,TRUE,FALSE,1,#N/A,2,10,"=R1C1:R636C40",FALSE,#N/A,#N/A,FALSE,FALSE,FALSE,9,300,300,FALSE,TRUE,TRUE,TRUE,TRUE}</definedName>
    <definedName name="qqqqqqqq" localSheetId="4" hidden="1">{TRUE,TRUE,-1.25,-15.5,484.5,276.75,FALSE,TRUE,TRUE,TRUE,0,1,1,300,1,1.96296296296296,1.15384615384615,4,TRUE,TRUE,3,TRUE,1,FALSE,75,"Swvu.Print_Todo.","ACwvu.Print_Todo.",#N/A,FALSE,FALSE,0,0,0,0,2,"","",FALSE,FALSE,TRUE,FALSE,1,#N/A,2,10,"=R1C1:R636C40",FALSE,#N/A,#N/A,FALSE,FALSE,FALSE,9,300,300,FALSE,TRUE,TRUE,TRUE,TRUE}</definedName>
    <definedName name="qqqqqqqq" localSheetId="1" hidden="1">{TRUE,TRUE,-1.25,-15.5,484.5,276.75,FALSE,TRUE,TRUE,TRUE,0,1,1,300,1,1.96296296296296,1.15384615384615,4,TRUE,TRUE,3,TRUE,1,FALSE,75,"Swvu.Print_Todo.","ACwvu.Print_Todo.",#N/A,FALSE,FALSE,0,0,0,0,2,"","",FALSE,FALSE,TRUE,FALSE,1,#N/A,2,10,"=R1C1:R636C40",FALSE,#N/A,#N/A,FALSE,FALSE,FALSE,9,300,300,FALSE,TRUE,TRUE,TRUE,TRUE}</definedName>
    <definedName name="qqqqqqqq" localSheetId="2" hidden="1">{TRUE,TRUE,-1.25,-15.5,484.5,276.75,FALSE,TRUE,TRUE,TRUE,0,1,1,300,1,1.96296296296296,1.15384615384615,4,TRUE,TRUE,3,TRUE,1,FALSE,75,"Swvu.Print_Todo.","ACwvu.Print_Todo.",#N/A,FALSE,FALSE,0,0,0,0,2,"","",FALSE,FALSE,TRUE,FALSE,1,#N/A,2,10,"=R1C1:R636C40",FALSE,#N/A,#N/A,FALSE,FALSE,FALSE,9,300,300,FALSE,TRUE,TRUE,TRUE,TRUE}</definedName>
    <definedName name="qqqqqqqq" hidden="1">{TRUE,TRUE,-1.25,-15.5,484.5,276.75,FALSE,TRUE,TRUE,TRUE,0,1,1,300,1,1.96296296296296,1.15384615384615,4,TRUE,TRUE,3,TRUE,1,FALSE,75,"Swvu.Print_Todo.","ACwvu.Print_Todo.",#N/A,FALSE,FALSE,0,0,0,0,2,"","",FALSE,FALSE,TRUE,FALSE,1,#N/A,2,10,"=R1C1:R636C40",FALSE,#N/A,#N/A,FALSE,FALSE,FALSE,9,300,300,FALSE,TRUE,TRUE,TRUE,TRUE}</definedName>
    <definedName name="qqqqqqqqq" localSheetId="3"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qqqqqqqqq" localSheetId="6"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qqqqqqqqq" localSheetId="7"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qqqqqqqqq" localSheetId="10"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qqqqqqqqq" localSheetId="11"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qqqqqqqqq" localSheetId="5"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qqqqqqqqq" localSheetId="4"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qqqqqqqqq" localSheetId="1"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qqqqqqqqq" localSheetId="2"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qqqqqqqqq"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que" localSheetId="3" hidden="1">{#N/A,#N/A,FALSE,"PCOL"}</definedName>
    <definedName name="que" localSheetId="6" hidden="1">{#N/A,#N/A,FALSE,"PCOL"}</definedName>
    <definedName name="que" localSheetId="7" hidden="1">{#N/A,#N/A,FALSE,"PCOL"}</definedName>
    <definedName name="que" localSheetId="10" hidden="1">{#N/A,#N/A,FALSE,"PCOL"}</definedName>
    <definedName name="que" localSheetId="11" hidden="1">{#N/A,#N/A,FALSE,"PCOL"}</definedName>
    <definedName name="que" localSheetId="5" hidden="1">{#N/A,#N/A,FALSE,"PCOL"}</definedName>
    <definedName name="que" localSheetId="4" hidden="1">{#N/A,#N/A,FALSE,"PCOL"}</definedName>
    <definedName name="que" hidden="1">{#N/A,#N/A,FALSE,"PCOL"}</definedName>
    <definedName name="QUQT" localSheetId="3" hidden="1">{"'gráf jan00'!$A$1:$AK$41"}</definedName>
    <definedName name="QUQT" localSheetId="6" hidden="1">{"'gráf jan00'!$A$1:$AK$41"}</definedName>
    <definedName name="QUQT" localSheetId="7" hidden="1">{"'gráf jan00'!$A$1:$AK$41"}</definedName>
    <definedName name="QUQT" localSheetId="10" hidden="1">{"'gráf jan00'!$A$1:$AK$41"}</definedName>
    <definedName name="QUQT" localSheetId="11" hidden="1">{"'gráf jan00'!$A$1:$AK$41"}</definedName>
    <definedName name="QUQT" localSheetId="5" hidden="1">{"'gráf jan00'!$A$1:$AK$41"}</definedName>
    <definedName name="QUQT" localSheetId="4" hidden="1">{"'gráf jan00'!$A$1:$AK$41"}</definedName>
    <definedName name="QUQT" hidden="1">{"'gráf jan00'!$A$1:$AK$41"}</definedName>
    <definedName name="QWE" localSheetId="3" hidden="1">{"'gráf jan00'!$A$1:$AK$41"}</definedName>
    <definedName name="QWE" localSheetId="6" hidden="1">{"'gráf jan00'!$A$1:$AK$41"}</definedName>
    <definedName name="QWE" localSheetId="7" hidden="1">{"'gráf jan00'!$A$1:$AK$41"}</definedName>
    <definedName name="QWE" localSheetId="10" hidden="1">{"'gráf jan00'!$A$1:$AK$41"}</definedName>
    <definedName name="QWE" localSheetId="11" hidden="1">{"'gráf jan00'!$A$1:$AK$41"}</definedName>
    <definedName name="QWE" localSheetId="5" hidden="1">{"'gráf jan00'!$A$1:$AK$41"}</definedName>
    <definedName name="QWE" localSheetId="4" hidden="1">{"'gráf jan00'!$A$1:$AK$41"}</definedName>
    <definedName name="QWE" hidden="1">{"'gráf jan00'!$A$1:$AK$41"}</definedName>
    <definedName name="qwewqadasfdytwyytryryrrt6hyyuiuokp0" localSheetId="3"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qwewqadasfdytwyytryryrrt6hyyuiuokp0" localSheetId="6"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qwewqadasfdytwyytryryrrt6hyyuiuokp0" localSheetId="7"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qwewqadasfdytwyytryryrrt6hyyuiuokp0" localSheetId="10"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qwewqadasfdytwyytryryrrt6hyyuiuokp0" localSheetId="1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qwewqadasfdytwyytryryrrt6hyyuiuokp0" localSheetId="5"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qwewqadasfdytwyytryryrrt6hyyuiuokp0" localSheetId="4"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qwewqadasfdytwyytryryrrt6hyyuiuokp0"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qwqq" localSheetId="3" hidden="1">{#N/A,#N/A,FALSE,"PCOL"}</definedName>
    <definedName name="qwqq" localSheetId="6" hidden="1">{#N/A,#N/A,FALSE,"PCOL"}</definedName>
    <definedName name="qwqq" localSheetId="7" hidden="1">{#N/A,#N/A,FALSE,"PCOL"}</definedName>
    <definedName name="qwqq" localSheetId="10" hidden="1">{#N/A,#N/A,FALSE,"PCOL"}</definedName>
    <definedName name="qwqq" localSheetId="11" hidden="1">{#N/A,#N/A,FALSE,"PCOL"}</definedName>
    <definedName name="qwqq" localSheetId="5" hidden="1">{#N/A,#N/A,FALSE,"PCOL"}</definedName>
    <definedName name="qwqq" localSheetId="4" hidden="1">{#N/A,#N/A,FALSE,"PCOL"}</definedName>
    <definedName name="qwqq" hidden="1">{#N/A,#N/A,FALSE,"PCOL"}</definedName>
    <definedName name="qwqw" localSheetId="3" hidden="1">{#N/A,#N/A,FALSE,"PCOL"}</definedName>
    <definedName name="qwqw" localSheetId="6" hidden="1">{#N/A,#N/A,FALSE,"PCOL"}</definedName>
    <definedName name="qwqw" localSheetId="7" hidden="1">{#N/A,#N/A,FALSE,"PCOL"}</definedName>
    <definedName name="qwqw" localSheetId="10" hidden="1">{#N/A,#N/A,FALSE,"PCOL"}</definedName>
    <definedName name="qwqw" localSheetId="11" hidden="1">{#N/A,#N/A,FALSE,"PCOL"}</definedName>
    <definedName name="qwqw" localSheetId="5" hidden="1">{#N/A,#N/A,FALSE,"PCOL"}</definedName>
    <definedName name="qwqw" localSheetId="4" hidden="1">{#N/A,#N/A,FALSE,"PCOL"}</definedName>
    <definedName name="qwqw" hidden="1">{#N/A,#N/A,FALSE,"PCOL"}</definedName>
    <definedName name="qwqweq" localSheetId="3" hidden="1">{#N/A,#N/A,FALSE,"PCOL"}</definedName>
    <definedName name="qwqweq" localSheetId="6" hidden="1">{#N/A,#N/A,FALSE,"PCOL"}</definedName>
    <definedName name="qwqweq" localSheetId="7" hidden="1">{#N/A,#N/A,FALSE,"PCOL"}</definedName>
    <definedName name="qwqweq" localSheetId="10" hidden="1">{#N/A,#N/A,FALSE,"PCOL"}</definedName>
    <definedName name="qwqweq" localSheetId="11" hidden="1">{#N/A,#N/A,FALSE,"PCOL"}</definedName>
    <definedName name="qwqweq" localSheetId="5" hidden="1">{#N/A,#N/A,FALSE,"PCOL"}</definedName>
    <definedName name="qwqweq" localSheetId="4" hidden="1">{#N/A,#N/A,FALSE,"PCOL"}</definedName>
    <definedName name="qwqweq" hidden="1">{#N/A,#N/A,FALSE,"PCOL"}</definedName>
    <definedName name="qwqwq" localSheetId="3" hidden="1">{#N/A,#N/A,FALSE,"PCOL"}</definedName>
    <definedName name="qwqwq" localSheetId="6" hidden="1">{#N/A,#N/A,FALSE,"PCOL"}</definedName>
    <definedName name="qwqwq" localSheetId="7" hidden="1">{#N/A,#N/A,FALSE,"PCOL"}</definedName>
    <definedName name="qwqwq" localSheetId="10" hidden="1">{#N/A,#N/A,FALSE,"PCOL"}</definedName>
    <definedName name="qwqwq" localSheetId="11" hidden="1">{#N/A,#N/A,FALSE,"PCOL"}</definedName>
    <definedName name="qwqwq" localSheetId="5" hidden="1">{#N/A,#N/A,FALSE,"PCOL"}</definedName>
    <definedName name="qwqwq" localSheetId="4" hidden="1">{#N/A,#N/A,FALSE,"PCOL"}</definedName>
    <definedName name="qwqwq" hidden="1">{#N/A,#N/A,FALSE,"PCOL"}</definedName>
    <definedName name="qwqwsq" localSheetId="3" hidden="1">{#N/A,#N/A,FALSE,"PCOL"}</definedName>
    <definedName name="qwqwsq" localSheetId="6" hidden="1">{#N/A,#N/A,FALSE,"PCOL"}</definedName>
    <definedName name="qwqwsq" localSheetId="7" hidden="1">{#N/A,#N/A,FALSE,"PCOL"}</definedName>
    <definedName name="qwqwsq" localSheetId="10" hidden="1">{#N/A,#N/A,FALSE,"PCOL"}</definedName>
    <definedName name="qwqwsq" localSheetId="11" hidden="1">{#N/A,#N/A,FALSE,"PCOL"}</definedName>
    <definedName name="qwqwsq" localSheetId="5" hidden="1">{#N/A,#N/A,FALSE,"PCOL"}</definedName>
    <definedName name="qwqwsq" localSheetId="4" hidden="1">{#N/A,#N/A,FALSE,"PCOL"}</definedName>
    <definedName name="qwqwsq" hidden="1">{#N/A,#N/A,FALSE,"PCOL"}</definedName>
    <definedName name="QWR" localSheetId="3" hidden="1">{#N/A,#N/A,FALSE,"Ocorrência OOLA";#N/A,#N/A,FALSE,"Ocorrência OOLL";#N/A,#N/A,FALSE,"Extra OOLA";#N/A,#N/A,FALSE,"Extra OOLL"}</definedName>
    <definedName name="QWR" localSheetId="6" hidden="1">{#N/A,#N/A,FALSE,"Ocorrência OOLA";#N/A,#N/A,FALSE,"Ocorrência OOLL";#N/A,#N/A,FALSE,"Extra OOLA";#N/A,#N/A,FALSE,"Extra OOLL"}</definedName>
    <definedName name="QWR" localSheetId="7" hidden="1">{#N/A,#N/A,FALSE,"Ocorrência OOLA";#N/A,#N/A,FALSE,"Ocorrência OOLL";#N/A,#N/A,FALSE,"Extra OOLA";#N/A,#N/A,FALSE,"Extra OOLL"}</definedName>
    <definedName name="QWR" localSheetId="10" hidden="1">{#N/A,#N/A,FALSE,"Ocorrência OOLA";#N/A,#N/A,FALSE,"Ocorrência OOLL";#N/A,#N/A,FALSE,"Extra OOLA";#N/A,#N/A,FALSE,"Extra OOLL"}</definedName>
    <definedName name="QWR" localSheetId="11" hidden="1">{#N/A,#N/A,FALSE,"Ocorrência OOLA";#N/A,#N/A,FALSE,"Ocorrência OOLL";#N/A,#N/A,FALSE,"Extra OOLA";#N/A,#N/A,FALSE,"Extra OOLL"}</definedName>
    <definedName name="QWR" localSheetId="5" hidden="1">{#N/A,#N/A,FALSE,"Ocorrência OOLA";#N/A,#N/A,FALSE,"Ocorrência OOLL";#N/A,#N/A,FALSE,"Extra OOLA";#N/A,#N/A,FALSE,"Extra OOLL"}</definedName>
    <definedName name="QWR" localSheetId="4" hidden="1">{#N/A,#N/A,FALSE,"Ocorrência OOLA";#N/A,#N/A,FALSE,"Ocorrência OOLL";#N/A,#N/A,FALSE,"Extra OOLA";#N/A,#N/A,FALSE,"Extra OOLL"}</definedName>
    <definedName name="QWR" hidden="1">{#N/A,#N/A,FALSE,"Ocorrência OOLA";#N/A,#N/A,FALSE,"Ocorrência OOLL";#N/A,#N/A,FALSE,"Extra OOLA";#N/A,#N/A,FALSE,"Extra OOLL"}</definedName>
    <definedName name="RA" localSheetId="3" hidden="1">{"'Quadro'!$A$4:$BG$78"}</definedName>
    <definedName name="RA" localSheetId="6" hidden="1">{"'Quadro'!$A$4:$BG$78"}</definedName>
    <definedName name="RA" localSheetId="7" hidden="1">{"'Quadro'!$A$4:$BG$78"}</definedName>
    <definedName name="RA" localSheetId="10" hidden="1">{"'Quadro'!$A$4:$BG$78"}</definedName>
    <definedName name="RA" localSheetId="11" hidden="1">{"'Quadro'!$A$4:$BG$78"}</definedName>
    <definedName name="RA" localSheetId="5" hidden="1">{"'Quadro'!$A$4:$BG$78"}</definedName>
    <definedName name="RA" localSheetId="4" hidden="1">{"'Quadro'!$A$4:$BG$78"}</definedName>
    <definedName name="RA" hidden="1">{"'Quadro'!$A$4:$BG$78"}</definedName>
    <definedName name="RangeChange" hidden="1">#N/A</definedName>
    <definedName name="rdff" localSheetId="3" hidden="1">{#N/A,#N/A,TRUE,"indice";#N/A,#N/A,TRUE,"indicadores";#N/A,#N/A,TRUE,"comentarios"}</definedName>
    <definedName name="rdff" localSheetId="6" hidden="1">{#N/A,#N/A,TRUE,"indice";#N/A,#N/A,TRUE,"indicadores";#N/A,#N/A,TRUE,"comentarios"}</definedName>
    <definedName name="rdff" localSheetId="7" hidden="1">{#N/A,#N/A,TRUE,"indice";#N/A,#N/A,TRUE,"indicadores";#N/A,#N/A,TRUE,"comentarios"}</definedName>
    <definedName name="rdff" localSheetId="10" hidden="1">{#N/A,#N/A,TRUE,"indice";#N/A,#N/A,TRUE,"indicadores";#N/A,#N/A,TRUE,"comentarios"}</definedName>
    <definedName name="rdff" localSheetId="11" hidden="1">{#N/A,#N/A,TRUE,"indice";#N/A,#N/A,TRUE,"indicadores";#N/A,#N/A,TRUE,"comentarios"}</definedName>
    <definedName name="rdff" localSheetId="5" hidden="1">{#N/A,#N/A,TRUE,"indice";#N/A,#N/A,TRUE,"indicadores";#N/A,#N/A,TRUE,"comentarios"}</definedName>
    <definedName name="rdff" localSheetId="4" hidden="1">{#N/A,#N/A,TRUE,"indice";#N/A,#N/A,TRUE,"indicadores";#N/A,#N/A,TRUE,"comentarios"}</definedName>
    <definedName name="rdff" hidden="1">{#N/A,#N/A,TRUE,"indice";#N/A,#N/A,TRUE,"indicadores";#N/A,#N/A,TRUE,"comentarios"}</definedName>
    <definedName name="RDTEA" localSheetId="3" hidden="1">{"'Quadro'!$A$4:$BG$78"}</definedName>
    <definedName name="RDTEA" localSheetId="6" hidden="1">{"'Quadro'!$A$4:$BG$78"}</definedName>
    <definedName name="RDTEA" localSheetId="7" hidden="1">{"'Quadro'!$A$4:$BG$78"}</definedName>
    <definedName name="RDTEA" localSheetId="10" hidden="1">{"'Quadro'!$A$4:$BG$78"}</definedName>
    <definedName name="RDTEA" localSheetId="11" hidden="1">{"'Quadro'!$A$4:$BG$78"}</definedName>
    <definedName name="RDTEA" localSheetId="5" hidden="1">{"'Quadro'!$A$4:$BG$78"}</definedName>
    <definedName name="RDTEA" localSheetId="4" hidden="1">{"'Quadro'!$A$4:$BG$78"}</definedName>
    <definedName name="RDTEA" hidden="1">{"'Quadro'!$A$4:$BG$78"}</definedName>
    <definedName name="recsensi">#REF!</definedName>
    <definedName name="red.1" localSheetId="3">#REF!</definedName>
    <definedName name="red.1" localSheetId="7">#REF!</definedName>
    <definedName name="red.1">#REF!</definedName>
    <definedName name="red.10" localSheetId="3">#REF!</definedName>
    <definedName name="red.10" localSheetId="7">#REF!</definedName>
    <definedName name="red.10">#REF!</definedName>
    <definedName name="red.11" localSheetId="3">#REF!</definedName>
    <definedName name="red.11" localSheetId="7">#REF!</definedName>
    <definedName name="red.11">#REF!</definedName>
    <definedName name="red.12" localSheetId="3">#REF!</definedName>
    <definedName name="red.12" localSheetId="7">#REF!</definedName>
    <definedName name="red.12">#REF!</definedName>
    <definedName name="red.13" localSheetId="3">#REF!</definedName>
    <definedName name="red.13" localSheetId="7">#REF!</definedName>
    <definedName name="red.13">#REF!</definedName>
    <definedName name="red.14" localSheetId="3">#REF!</definedName>
    <definedName name="red.14" localSheetId="7">#REF!</definedName>
    <definedName name="red.14">#REF!</definedName>
    <definedName name="red.15" localSheetId="3">#REF!</definedName>
    <definedName name="red.15" localSheetId="7">#REF!</definedName>
    <definedName name="red.15">#REF!</definedName>
    <definedName name="red.16" localSheetId="3">#REF!</definedName>
    <definedName name="red.16" localSheetId="7">#REF!</definedName>
    <definedName name="red.16">#REF!</definedName>
    <definedName name="red.17" localSheetId="3">#REF!</definedName>
    <definedName name="red.17" localSheetId="7">#REF!</definedName>
    <definedName name="red.17">#REF!</definedName>
    <definedName name="red.18" localSheetId="3">#REF!</definedName>
    <definedName name="red.18" localSheetId="7">#REF!</definedName>
    <definedName name="red.18">#REF!</definedName>
    <definedName name="red.19" localSheetId="3">#REF!</definedName>
    <definedName name="red.19" localSheetId="7">#REF!</definedName>
    <definedName name="red.19">#REF!</definedName>
    <definedName name="red.2" localSheetId="3">#REF!</definedName>
    <definedName name="red.2" localSheetId="7">#REF!</definedName>
    <definedName name="red.2">#REF!</definedName>
    <definedName name="red.20" localSheetId="3">#REF!</definedName>
    <definedName name="red.20" localSheetId="7">#REF!</definedName>
    <definedName name="red.20">#REF!</definedName>
    <definedName name="red.21" localSheetId="3">#REF!</definedName>
    <definedName name="red.21" localSheetId="7">#REF!</definedName>
    <definedName name="red.21">#REF!</definedName>
    <definedName name="red.22" localSheetId="3">#REF!</definedName>
    <definedName name="red.22" localSheetId="7">#REF!</definedName>
    <definedName name="red.22">#REF!</definedName>
    <definedName name="red.23" localSheetId="3">#REF!</definedName>
    <definedName name="red.23" localSheetId="7">#REF!</definedName>
    <definedName name="red.23">#REF!</definedName>
    <definedName name="red.24" localSheetId="3">#REF!</definedName>
    <definedName name="red.24" localSheetId="7">#REF!</definedName>
    <definedName name="red.24">#REF!</definedName>
    <definedName name="red.25" localSheetId="3">#REF!</definedName>
    <definedName name="red.25" localSheetId="7">#REF!</definedName>
    <definedName name="red.25">#REF!</definedName>
    <definedName name="red.26" localSheetId="3">#REF!</definedName>
    <definedName name="red.26" localSheetId="7">#REF!</definedName>
    <definedName name="red.26">#REF!</definedName>
    <definedName name="red.27" localSheetId="3">#REF!</definedName>
    <definedName name="red.27" localSheetId="7">#REF!</definedName>
    <definedName name="red.27">#REF!</definedName>
    <definedName name="red.28" localSheetId="3">#REF!</definedName>
    <definedName name="red.28" localSheetId="7">#REF!</definedName>
    <definedName name="red.28">#REF!</definedName>
    <definedName name="red.29" localSheetId="3">#REF!</definedName>
    <definedName name="red.29" localSheetId="7">#REF!</definedName>
    <definedName name="red.29">#REF!</definedName>
    <definedName name="red.3" localSheetId="3">#REF!</definedName>
    <definedName name="red.3" localSheetId="7">#REF!</definedName>
    <definedName name="red.3">#REF!</definedName>
    <definedName name="red.30" localSheetId="3">#REF!</definedName>
    <definedName name="red.30" localSheetId="7">#REF!</definedName>
    <definedName name="red.30">#REF!</definedName>
    <definedName name="red.4" localSheetId="3">#REF!</definedName>
    <definedName name="red.4" localSheetId="7">#REF!</definedName>
    <definedName name="red.4">#REF!</definedName>
    <definedName name="red.5" localSheetId="3">#REF!</definedName>
    <definedName name="red.5" localSheetId="7">#REF!</definedName>
    <definedName name="red.5">#REF!</definedName>
    <definedName name="red.6" localSheetId="3">#REF!</definedName>
    <definedName name="red.6" localSheetId="7">#REF!</definedName>
    <definedName name="red.6">#REF!</definedName>
    <definedName name="red.7" localSheetId="3">#REF!</definedName>
    <definedName name="red.7" localSheetId="7">#REF!</definedName>
    <definedName name="red.7">#REF!</definedName>
    <definedName name="red.8" localSheetId="3">#REF!</definedName>
    <definedName name="red.8" localSheetId="7">#REF!</definedName>
    <definedName name="red.8">#REF!</definedName>
    <definedName name="red.9" localSheetId="3">#REF!</definedName>
    <definedName name="red.9" localSheetId="7">#REF!</definedName>
    <definedName name="red.9">#REF!</definedName>
    <definedName name="rei" localSheetId="3" hidden="1">#REF!</definedName>
    <definedName name="rei" localSheetId="7" hidden="1">#REF!</definedName>
    <definedName name="rei" hidden="1">#REF!</definedName>
    <definedName name="RELAÇÃO_DE_DEPENDÊNCIAS">"CABECA"</definedName>
    <definedName name="RESUMO">#N/A</definedName>
    <definedName name="Resumo1" localSheetId="3" hidden="1">{"'teste'!$B$2:$R$49"}</definedName>
    <definedName name="Resumo1" localSheetId="6" hidden="1">{"'teste'!$B$2:$R$49"}</definedName>
    <definedName name="Resumo1" localSheetId="7" hidden="1">{"'teste'!$B$2:$R$49"}</definedName>
    <definedName name="Resumo1" localSheetId="10" hidden="1">{"'teste'!$B$2:$R$49"}</definedName>
    <definedName name="Resumo1" localSheetId="11" hidden="1">{"'teste'!$B$2:$R$49"}</definedName>
    <definedName name="Resumo1" localSheetId="5" hidden="1">{"'teste'!$B$2:$R$49"}</definedName>
    <definedName name="Resumo1" localSheetId="4" hidden="1">{"'teste'!$B$2:$R$49"}</definedName>
    <definedName name="Resumo1" hidden="1">{"'teste'!$B$2:$R$49"}</definedName>
    <definedName name="RET" localSheetId="3" hidden="1">{"'Quadro'!$A$4:$BG$78"}</definedName>
    <definedName name="RET" localSheetId="6" hidden="1">{"'Quadro'!$A$4:$BG$78"}</definedName>
    <definedName name="RET" localSheetId="7" hidden="1">{"'Quadro'!$A$4:$BG$78"}</definedName>
    <definedName name="RET" localSheetId="10" hidden="1">{"'Quadro'!$A$4:$BG$78"}</definedName>
    <definedName name="RET" localSheetId="11" hidden="1">{"'Quadro'!$A$4:$BG$78"}</definedName>
    <definedName name="RET" localSheetId="5" hidden="1">{"'Quadro'!$A$4:$BG$78"}</definedName>
    <definedName name="RET" localSheetId="4" hidden="1">{"'Quadro'!$A$4:$BG$78"}</definedName>
    <definedName name="RET" hidden="1">{"'Quadro'!$A$4:$BG$78"}</definedName>
    <definedName name="reuyre" localSheetId="3"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reuyre" localSheetId="6"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reuyre" localSheetId="7"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reuyre" localSheetId="10"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reuyre" localSheetId="11"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reuyre" localSheetId="5"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reuyre" localSheetId="4"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reuyre"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REV">#REF!</definedName>
    <definedName name="RFTY" localSheetId="3" hidden="1">{"'Quadro'!$A$4:$BG$78"}</definedName>
    <definedName name="RFTY" localSheetId="6" hidden="1">{"'Quadro'!$A$4:$BG$78"}</definedName>
    <definedName name="RFTY" localSheetId="7" hidden="1">{"'Quadro'!$A$4:$BG$78"}</definedName>
    <definedName name="RFTY" localSheetId="10" hidden="1">{"'Quadro'!$A$4:$BG$78"}</definedName>
    <definedName name="RFTY" localSheetId="11" hidden="1">{"'Quadro'!$A$4:$BG$78"}</definedName>
    <definedName name="RFTY" localSheetId="5" hidden="1">{"'Quadro'!$A$4:$BG$78"}</definedName>
    <definedName name="RFTY" localSheetId="4" hidden="1">{"'Quadro'!$A$4:$BG$78"}</definedName>
    <definedName name="RFTY" hidden="1">{"'Quadro'!$A$4:$BG$78"}</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10000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2</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r" localSheetId="3" hidden="1">{#N/A,#N/A,FALSE,"310.1";#N/A,#N/A,FALSE,"321.1";#N/A,#N/A,FALSE,"320.3";#N/A,#N/A,FALSE,"330.1"}</definedName>
    <definedName name="rr" localSheetId="6" hidden="1">{#N/A,#N/A,FALSE,"310.1";#N/A,#N/A,FALSE,"321.1";#N/A,#N/A,FALSE,"320.3";#N/A,#N/A,FALSE,"330.1"}</definedName>
    <definedName name="rr" localSheetId="7" hidden="1">{#N/A,#N/A,FALSE,"310.1";#N/A,#N/A,FALSE,"321.1";#N/A,#N/A,FALSE,"320.3";#N/A,#N/A,FALSE,"330.1"}</definedName>
    <definedName name="rr" localSheetId="10" hidden="1">{#N/A,#N/A,FALSE,"310.1";#N/A,#N/A,FALSE,"321.1";#N/A,#N/A,FALSE,"320.3";#N/A,#N/A,FALSE,"330.1"}</definedName>
    <definedName name="rr" localSheetId="11" hidden="1">{#N/A,#N/A,FALSE,"310.1";#N/A,#N/A,FALSE,"321.1";#N/A,#N/A,FALSE,"320.3";#N/A,#N/A,FALSE,"330.1"}</definedName>
    <definedName name="rr" localSheetId="5" hidden="1">{#N/A,#N/A,FALSE,"310.1";#N/A,#N/A,FALSE,"321.1";#N/A,#N/A,FALSE,"320.3";#N/A,#N/A,FALSE,"330.1"}</definedName>
    <definedName name="rr" localSheetId="4" hidden="1">{#N/A,#N/A,FALSE,"310.1";#N/A,#N/A,FALSE,"321.1";#N/A,#N/A,FALSE,"320.3";#N/A,#N/A,FALSE,"330.1"}</definedName>
    <definedName name="rr" hidden="1">{#N/A,#N/A,FALSE,"310.1";#N/A,#N/A,FALSE,"321.1";#N/A,#N/A,FALSE,"320.3";#N/A,#N/A,FALSE,"330.1"}</definedName>
    <definedName name="rrr" localSheetId="3"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rrr" localSheetId="6"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rrr" localSheetId="7"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rrr" localSheetId="10"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rrr" localSheetId="11"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rrr" localSheetId="5"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rrr" localSheetId="4"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rrr"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rtr" localSheetId="3" hidden="1">#REF!</definedName>
    <definedName name="rtr" localSheetId="6" hidden="1">#REF!</definedName>
    <definedName name="rtr" localSheetId="7" hidden="1">#REF!</definedName>
    <definedName name="rtr" localSheetId="10" hidden="1">#REF!</definedName>
    <definedName name="rtr" localSheetId="11" hidden="1">#REF!</definedName>
    <definedName name="rtr" hidden="1">#REF!</definedName>
    <definedName name="s" localSheetId="3" hidden="1">[7]Elétrica!#REF!</definedName>
    <definedName name="s" localSheetId="6" hidden="1">[7]Elétrica!#REF!</definedName>
    <definedName name="s" localSheetId="7" hidden="1">[7]Elétrica!#REF!</definedName>
    <definedName name="s" localSheetId="10" hidden="1">[7]Elétrica!#REF!</definedName>
    <definedName name="s" localSheetId="11" hidden="1">[7]Elétrica!#REF!</definedName>
    <definedName name="s" hidden="1">[7]Elétrica!#REF!</definedName>
    <definedName name="SAAF" localSheetId="3" hidden="1">{"'Quadro'!$A$4:$BG$78"}</definedName>
    <definedName name="SAAF" localSheetId="6" hidden="1">{"'Quadro'!$A$4:$BG$78"}</definedName>
    <definedName name="SAAF" localSheetId="7" hidden="1">{"'Quadro'!$A$4:$BG$78"}</definedName>
    <definedName name="SAAF" localSheetId="10" hidden="1">{"'Quadro'!$A$4:$BG$78"}</definedName>
    <definedName name="SAAF" localSheetId="11" hidden="1">{"'Quadro'!$A$4:$BG$78"}</definedName>
    <definedName name="SAAF" localSheetId="5" hidden="1">{"'Quadro'!$A$4:$BG$78"}</definedName>
    <definedName name="SAAF" localSheetId="4" hidden="1">{"'Quadro'!$A$4:$BG$78"}</definedName>
    <definedName name="SAAF" hidden="1">{"'Quadro'!$A$4:$BG$78"}</definedName>
    <definedName name="sac" localSheetId="3" hidden="1">{#N/A,#N/A,FALSE,"PCOL"}</definedName>
    <definedName name="sac" localSheetId="6" hidden="1">{#N/A,#N/A,FALSE,"PCOL"}</definedName>
    <definedName name="sac" localSheetId="7" hidden="1">{#N/A,#N/A,FALSE,"PCOL"}</definedName>
    <definedName name="sac" localSheetId="10" hidden="1">{#N/A,#N/A,FALSE,"PCOL"}</definedName>
    <definedName name="sac" localSheetId="11" hidden="1">{#N/A,#N/A,FALSE,"PCOL"}</definedName>
    <definedName name="sac" localSheetId="5" hidden="1">{#N/A,#N/A,FALSE,"PCOL"}</definedName>
    <definedName name="sac" localSheetId="4" hidden="1">{#N/A,#N/A,FALSE,"PCOL"}</definedName>
    <definedName name="sac" hidden="1">{#N/A,#N/A,FALSE,"PCOL"}</definedName>
    <definedName name="SAPBEXrevision" hidden="1">18</definedName>
    <definedName name="SAPBEXsysID" hidden="1">"B1P"</definedName>
    <definedName name="SAPBEXwbID" hidden="1">"4ZUOE77O1HF840EF45K3PLCV5"</definedName>
    <definedName name="saquinho" localSheetId="3" hidden="1">{#N/A,#N/A,FALSE,"PCOL"}</definedName>
    <definedName name="saquinho" localSheetId="6" hidden="1">{#N/A,#N/A,FALSE,"PCOL"}</definedName>
    <definedName name="saquinho" localSheetId="7" hidden="1">{#N/A,#N/A,FALSE,"PCOL"}</definedName>
    <definedName name="saquinho" localSheetId="10" hidden="1">{#N/A,#N/A,FALSE,"PCOL"}</definedName>
    <definedName name="saquinho" localSheetId="11" hidden="1">{#N/A,#N/A,FALSE,"PCOL"}</definedName>
    <definedName name="saquinho" localSheetId="5" hidden="1">{#N/A,#N/A,FALSE,"PCOL"}</definedName>
    <definedName name="saquinho" localSheetId="4" hidden="1">{#N/A,#N/A,FALSE,"PCOL"}</definedName>
    <definedName name="saquinho" hidden="1">{#N/A,#N/A,FALSE,"PCOL"}</definedName>
    <definedName name="SAR" localSheetId="3" hidden="1">{"'Quadro'!$A$4:$BG$78"}</definedName>
    <definedName name="SAR" localSheetId="6" hidden="1">{"'Quadro'!$A$4:$BG$78"}</definedName>
    <definedName name="SAR" localSheetId="7" hidden="1">{"'Quadro'!$A$4:$BG$78"}</definedName>
    <definedName name="SAR" localSheetId="10" hidden="1">{"'Quadro'!$A$4:$BG$78"}</definedName>
    <definedName name="SAR" localSheetId="11" hidden="1">{"'Quadro'!$A$4:$BG$78"}</definedName>
    <definedName name="SAR" localSheetId="5" hidden="1">{"'Quadro'!$A$4:$BG$78"}</definedName>
    <definedName name="SAR" localSheetId="4" hidden="1">{"'Quadro'!$A$4:$BG$78"}</definedName>
    <definedName name="SAR" hidden="1">{"'Quadro'!$A$4:$BG$78"}</definedName>
    <definedName name="sargtwregwer" localSheetId="3"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sargtwregwer" localSheetId="6"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sargtwregwer" localSheetId="7"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sargtwregwer" localSheetId="10"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sargtwregwer" localSheetId="11"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sargtwregwer" localSheetId="5"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sargtwregwer" localSheetId="4"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sargtwregwer"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sasasa" localSheetId="3" hidden="1">{"'gráf jan00'!$A$1:$AK$41"}</definedName>
    <definedName name="sasasa" localSheetId="6" hidden="1">{"'gráf jan00'!$A$1:$AK$41"}</definedName>
    <definedName name="sasasa" localSheetId="7" hidden="1">{"'gráf jan00'!$A$1:$AK$41"}</definedName>
    <definedName name="sasasa" localSheetId="10" hidden="1">{"'gráf jan00'!$A$1:$AK$41"}</definedName>
    <definedName name="sasasa" localSheetId="11" hidden="1">{"'gráf jan00'!$A$1:$AK$41"}</definedName>
    <definedName name="sasasa" localSheetId="5" hidden="1">{"'gráf jan00'!$A$1:$AK$41"}</definedName>
    <definedName name="sasasa" localSheetId="4" hidden="1">{"'gráf jan00'!$A$1:$AK$41"}</definedName>
    <definedName name="sasasa" hidden="1">{"'gráf jan00'!$A$1:$AK$41"}</definedName>
    <definedName name="sasassasa" localSheetId="3"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sasassasa" localSheetId="6"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sasassasa" localSheetId="7"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sasassasa" localSheetId="10"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sasassasa" localSheetId="11"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sasassasa" localSheetId="5"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sasassasa" localSheetId="4"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sasassasa"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SDFFDFDF" localSheetId="3" hidden="1">{"'gráf jan00'!$A$1:$AK$41"}</definedName>
    <definedName name="SDFFDFDF" localSheetId="6" hidden="1">{"'gráf jan00'!$A$1:$AK$41"}</definedName>
    <definedName name="SDFFDFDF" localSheetId="7" hidden="1">{"'gráf jan00'!$A$1:$AK$41"}</definedName>
    <definedName name="SDFFDFDF" localSheetId="10" hidden="1">{"'gráf jan00'!$A$1:$AK$41"}</definedName>
    <definedName name="SDFFDFDF" localSheetId="11" hidden="1">{"'gráf jan00'!$A$1:$AK$41"}</definedName>
    <definedName name="SDFFDFDF" localSheetId="5" hidden="1">{"'gráf jan00'!$A$1:$AK$41"}</definedName>
    <definedName name="SDFFDFDF" localSheetId="4" hidden="1">{"'gráf jan00'!$A$1:$AK$41"}</definedName>
    <definedName name="SDFFDFDF" hidden="1">{"'gráf jan00'!$A$1:$AK$41"}</definedName>
    <definedName name="sdsdf" localSheetId="3" hidden="1">{"'Quadro'!$A$4:$BG$78"}</definedName>
    <definedName name="sdsdf" localSheetId="6" hidden="1">{"'Quadro'!$A$4:$BG$78"}</definedName>
    <definedName name="sdsdf" localSheetId="7" hidden="1">{"'Quadro'!$A$4:$BG$78"}</definedName>
    <definedName name="sdsdf" localSheetId="10" hidden="1">{"'Quadro'!$A$4:$BG$78"}</definedName>
    <definedName name="sdsdf" localSheetId="11" hidden="1">{"'Quadro'!$A$4:$BG$78"}</definedName>
    <definedName name="sdsdf" localSheetId="5" hidden="1">{"'Quadro'!$A$4:$BG$78"}</definedName>
    <definedName name="sdsdf" localSheetId="4" hidden="1">{"'Quadro'!$A$4:$BG$78"}</definedName>
    <definedName name="sdsdf" hidden="1">{"'Quadro'!$A$4:$BG$78"}</definedName>
    <definedName name="SE" localSheetId="3" hidden="1">{#N/A,#N/A,FALSE,"GERAL";#N/A,#N/A,FALSE,"012-96";#N/A,#N/A,FALSE,"018-96";#N/A,#N/A,FALSE,"027-96";#N/A,#N/A,FALSE,"059-96";#N/A,#N/A,FALSE,"076-96";#N/A,#N/A,FALSE,"019-97";#N/A,#N/A,FALSE,"021-97";#N/A,#N/A,FALSE,"022-97";#N/A,#N/A,FALSE,"028-97"}</definedName>
    <definedName name="SE" localSheetId="6" hidden="1">{#N/A,#N/A,FALSE,"GERAL";#N/A,#N/A,FALSE,"012-96";#N/A,#N/A,FALSE,"018-96";#N/A,#N/A,FALSE,"027-96";#N/A,#N/A,FALSE,"059-96";#N/A,#N/A,FALSE,"076-96";#N/A,#N/A,FALSE,"019-97";#N/A,#N/A,FALSE,"021-97";#N/A,#N/A,FALSE,"022-97";#N/A,#N/A,FALSE,"028-97"}</definedName>
    <definedName name="SE" localSheetId="7" hidden="1">{#N/A,#N/A,FALSE,"GERAL";#N/A,#N/A,FALSE,"012-96";#N/A,#N/A,FALSE,"018-96";#N/A,#N/A,FALSE,"027-96";#N/A,#N/A,FALSE,"059-96";#N/A,#N/A,FALSE,"076-96";#N/A,#N/A,FALSE,"019-97";#N/A,#N/A,FALSE,"021-97";#N/A,#N/A,FALSE,"022-97";#N/A,#N/A,FALSE,"028-97"}</definedName>
    <definedName name="SE" localSheetId="10" hidden="1">{#N/A,#N/A,FALSE,"GERAL";#N/A,#N/A,FALSE,"012-96";#N/A,#N/A,FALSE,"018-96";#N/A,#N/A,FALSE,"027-96";#N/A,#N/A,FALSE,"059-96";#N/A,#N/A,FALSE,"076-96";#N/A,#N/A,FALSE,"019-97";#N/A,#N/A,FALSE,"021-97";#N/A,#N/A,FALSE,"022-97";#N/A,#N/A,FALSE,"028-97"}</definedName>
    <definedName name="SE" localSheetId="11" hidden="1">{#N/A,#N/A,FALSE,"GERAL";#N/A,#N/A,FALSE,"012-96";#N/A,#N/A,FALSE,"018-96";#N/A,#N/A,FALSE,"027-96";#N/A,#N/A,FALSE,"059-96";#N/A,#N/A,FALSE,"076-96";#N/A,#N/A,FALSE,"019-97";#N/A,#N/A,FALSE,"021-97";#N/A,#N/A,FALSE,"022-97";#N/A,#N/A,FALSE,"028-97"}</definedName>
    <definedName name="SE" localSheetId="5" hidden="1">{#N/A,#N/A,FALSE,"GERAL";#N/A,#N/A,FALSE,"012-96";#N/A,#N/A,FALSE,"018-96";#N/A,#N/A,FALSE,"027-96";#N/A,#N/A,FALSE,"059-96";#N/A,#N/A,FALSE,"076-96";#N/A,#N/A,FALSE,"019-97";#N/A,#N/A,FALSE,"021-97";#N/A,#N/A,FALSE,"022-97";#N/A,#N/A,FALSE,"028-97"}</definedName>
    <definedName name="SE" localSheetId="4" hidden="1">{#N/A,#N/A,FALSE,"GERAL";#N/A,#N/A,FALSE,"012-96";#N/A,#N/A,FALSE,"018-96";#N/A,#N/A,FALSE,"027-96";#N/A,#N/A,FALSE,"059-96";#N/A,#N/A,FALSE,"076-96";#N/A,#N/A,FALSE,"019-97";#N/A,#N/A,FALSE,"021-97";#N/A,#N/A,FALSE,"022-97";#N/A,#N/A,FALSE,"028-97"}</definedName>
    <definedName name="SE" hidden="1">{#N/A,#N/A,FALSE,"GERAL";#N/A,#N/A,FALSE,"012-96";#N/A,#N/A,FALSE,"018-96";#N/A,#N/A,FALSE,"027-96";#N/A,#N/A,FALSE,"059-96";#N/A,#N/A,FALSE,"076-96";#N/A,#N/A,FALSE,"019-97";#N/A,#N/A,FALSE,"021-97";#N/A,#N/A,FALSE,"022-97";#N/A,#N/A,FALSE,"028-97"}</definedName>
    <definedName name="SEG">#REF!</definedName>
    <definedName name="SemanaTerminando" localSheetId="3">[20]materiais!#REF!</definedName>
    <definedName name="SemanaTerminando" localSheetId="6">[20]materiais!#REF!</definedName>
    <definedName name="SemanaTerminando">[20]materiais!#REF!</definedName>
    <definedName name="sencount" localSheetId="3" hidden="1">1</definedName>
    <definedName name="sencount" localSheetId="6" hidden="1">1</definedName>
    <definedName name="sencount" localSheetId="7" hidden="1">1</definedName>
    <definedName name="sencount" localSheetId="10" hidden="1">1</definedName>
    <definedName name="sencount" localSheetId="11" hidden="1">1</definedName>
    <definedName name="sencount" localSheetId="5" hidden="1">1</definedName>
    <definedName name="sencount" localSheetId="4" hidden="1">1</definedName>
    <definedName name="sencount" hidden="1">3</definedName>
    <definedName name="SER" localSheetId="3" hidden="1">{"'Quadro'!$A$4:$BG$78"}</definedName>
    <definedName name="SER" localSheetId="6" hidden="1">{"'Quadro'!$A$4:$BG$78"}</definedName>
    <definedName name="SER" localSheetId="7" hidden="1">{"'Quadro'!$A$4:$BG$78"}</definedName>
    <definedName name="SER" localSheetId="10" hidden="1">{"'Quadro'!$A$4:$BG$78"}</definedName>
    <definedName name="SER" localSheetId="11" hidden="1">{"'Quadro'!$A$4:$BG$78"}</definedName>
    <definedName name="SER" localSheetId="5" hidden="1">{"'Quadro'!$A$4:$BG$78"}</definedName>
    <definedName name="SER" localSheetId="4" hidden="1">{"'Quadro'!$A$4:$BG$78"}</definedName>
    <definedName name="SER" hidden="1">{"'Quadro'!$A$4:$BG$78"}</definedName>
    <definedName name="SF" localSheetId="3" hidden="1">{"'Quadro'!$A$4:$BG$78"}</definedName>
    <definedName name="SF" localSheetId="6" hidden="1">{"'Quadro'!$A$4:$BG$78"}</definedName>
    <definedName name="SF" localSheetId="7" hidden="1">{"'Quadro'!$A$4:$BG$78"}</definedName>
    <definedName name="SF" localSheetId="10" hidden="1">{"'Quadro'!$A$4:$BG$78"}</definedName>
    <definedName name="SF" localSheetId="11" hidden="1">{"'Quadro'!$A$4:$BG$78"}</definedName>
    <definedName name="SF" localSheetId="5" hidden="1">{"'Quadro'!$A$4:$BG$78"}</definedName>
    <definedName name="SF" localSheetId="4" hidden="1">{"'Quadro'!$A$4:$BG$78"}</definedName>
    <definedName name="SF" hidden="1">{"'Quadro'!$A$4:$BG$78"}</definedName>
    <definedName name="SFD" localSheetId="3" hidden="1">{"'Quadro'!$A$4:$BG$78"}</definedName>
    <definedName name="SFD" localSheetId="6" hidden="1">{"'Quadro'!$A$4:$BG$78"}</definedName>
    <definedName name="SFD" localSheetId="7" hidden="1">{"'Quadro'!$A$4:$BG$78"}</definedName>
    <definedName name="SFD" localSheetId="10" hidden="1">{"'Quadro'!$A$4:$BG$78"}</definedName>
    <definedName name="SFD" localSheetId="11" hidden="1">{"'Quadro'!$A$4:$BG$78"}</definedName>
    <definedName name="SFD" localSheetId="5" hidden="1">{"'Quadro'!$A$4:$BG$78"}</definedName>
    <definedName name="SFD" localSheetId="4" hidden="1">{"'Quadro'!$A$4:$BG$78"}</definedName>
    <definedName name="SFD" hidden="1">{"'Quadro'!$A$4:$BG$78"}</definedName>
    <definedName name="SFHJ" localSheetId="3" hidden="1">{"'Quadro'!$A$4:$BG$78"}</definedName>
    <definedName name="SFHJ" localSheetId="6" hidden="1">{"'Quadro'!$A$4:$BG$78"}</definedName>
    <definedName name="SFHJ" localSheetId="7" hidden="1">{"'Quadro'!$A$4:$BG$78"}</definedName>
    <definedName name="SFHJ" localSheetId="10" hidden="1">{"'Quadro'!$A$4:$BG$78"}</definedName>
    <definedName name="SFHJ" localSheetId="11" hidden="1">{"'Quadro'!$A$4:$BG$78"}</definedName>
    <definedName name="SFHJ" localSheetId="5" hidden="1">{"'Quadro'!$A$4:$BG$78"}</definedName>
    <definedName name="SFHJ" localSheetId="4" hidden="1">{"'Quadro'!$A$4:$BG$78"}</definedName>
    <definedName name="SFHJ" hidden="1">{"'Quadro'!$A$4:$BG$78"}</definedName>
    <definedName name="SFR" localSheetId="3" hidden="1">{"'Quadro'!$A$4:$BG$78"}</definedName>
    <definedName name="SFR" localSheetId="6" hidden="1">{"'Quadro'!$A$4:$BG$78"}</definedName>
    <definedName name="SFR" localSheetId="7" hidden="1">{"'Quadro'!$A$4:$BG$78"}</definedName>
    <definedName name="SFR" localSheetId="10" hidden="1">{"'Quadro'!$A$4:$BG$78"}</definedName>
    <definedName name="SFR" localSheetId="11" hidden="1">{"'Quadro'!$A$4:$BG$78"}</definedName>
    <definedName name="SFR" localSheetId="5" hidden="1">{"'Quadro'!$A$4:$BG$78"}</definedName>
    <definedName name="SFR" localSheetId="4" hidden="1">{"'Quadro'!$A$4:$BG$78"}</definedName>
    <definedName name="SFR" hidden="1">{"'Quadro'!$A$4:$BG$78"}</definedName>
    <definedName name="sheet1" localSheetId="6" hidden="1">[17]!Header1-1 &amp; "." &amp; MAX(1,COUNTA(INDEX(#REF!,MATCH([17]!Header1-1,#REF!,FALSE)):#REF!))</definedName>
    <definedName name="sheet1" localSheetId="10" hidden="1">[17]!Header1-1 &amp; "." &amp; MAX(1,COUNTA(INDEX(#REF!,MATCH([17]!Header1-1,#REF!,FALSE)):#REF!))</definedName>
    <definedName name="sheet1" localSheetId="5" hidden="1">[17]!Header1-1 &amp; "." &amp; MAX(1,COUNTA(INDEX(#REF!,MATCH([17]!Header1-1,#REF!,FALSE)):#REF!))</definedName>
    <definedName name="sheet1" localSheetId="4" hidden="1">[17]!Header1-1 &amp; "." &amp; MAX(1,COUNTA(INDEX(#REF!,MATCH([17]!Header1-1,#REF!,FALSE)):#REF!))</definedName>
    <definedName name="sheet1" hidden="1">[17]!Header1-1 &amp; "." &amp; MAX(1,COUNTA(INDEX(#REF!,MATCH([17]!Header1-1,#REF!,FALSE)):#REF!))</definedName>
    <definedName name="SHHHHJ" localSheetId="3" hidden="1">{"'RR'!$A$2:$E$81"}</definedName>
    <definedName name="SHHHHJ" localSheetId="6" hidden="1">{"'RR'!$A$2:$E$81"}</definedName>
    <definedName name="SHHHHJ" localSheetId="7" hidden="1">{"'RR'!$A$2:$E$81"}</definedName>
    <definedName name="SHHHHJ" localSheetId="10" hidden="1">{"'RR'!$A$2:$E$81"}</definedName>
    <definedName name="SHHHHJ" localSheetId="11" hidden="1">{"'RR'!$A$2:$E$81"}</definedName>
    <definedName name="SHHHHJ" localSheetId="5" hidden="1">{"'RR'!$A$2:$E$81"}</definedName>
    <definedName name="SHHHHJ" localSheetId="4" hidden="1">{"'RR'!$A$2:$E$81"}</definedName>
    <definedName name="SHHHHJ" hidden="1">{"'RR'!$A$2:$E$81"}</definedName>
    <definedName name="SICRO">#REF!</definedName>
    <definedName name="SIH">#REF!</definedName>
    <definedName name="SIV">#REF!</definedName>
    <definedName name="SLEVIN" localSheetId="3"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SLEVIN" localSheetId="6"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SLEVIN" localSheetId="7"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SLEVIN" localSheetId="10"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SLEVIN" localSheetId="11"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SLEVIN" localSheetId="5"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SLEVIN" localSheetId="4"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SLEVIN"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sof" localSheetId="3" hidden="1">{#N/A,#N/A,FALSE,"PCOL"}</definedName>
    <definedName name="sof" localSheetId="6" hidden="1">{#N/A,#N/A,FALSE,"PCOL"}</definedName>
    <definedName name="sof" localSheetId="7" hidden="1">{#N/A,#N/A,FALSE,"PCOL"}</definedName>
    <definedName name="sof" localSheetId="10" hidden="1">{#N/A,#N/A,FALSE,"PCOL"}</definedName>
    <definedName name="sof" localSheetId="11" hidden="1">{#N/A,#N/A,FALSE,"PCOL"}</definedName>
    <definedName name="sof" localSheetId="5" hidden="1">{#N/A,#N/A,FALSE,"PCOL"}</definedName>
    <definedName name="sof" localSheetId="4" hidden="1">{#N/A,#N/A,FALSE,"PCOL"}</definedName>
    <definedName name="sof" hidden="1">{#N/A,#N/A,FALSE,"PCOL"}</definedName>
    <definedName name="solver_adj" hidden="1">[21]Premissas!$Z$166,[21]Premissas!$Z$161</definedName>
    <definedName name="solver_cvg" hidden="1">0.001</definedName>
    <definedName name="solver_drv" hidden="1">1</definedName>
    <definedName name="solver_est" hidden="1">1</definedName>
    <definedName name="solver_itr" hidden="1">100</definedName>
    <definedName name="solver_lin" hidden="1">2</definedName>
    <definedName name="solver_neg" hidden="1">2</definedName>
    <definedName name="solver_num" localSheetId="3" hidden="1">1</definedName>
    <definedName name="solver_num" localSheetId="6" hidden="1">1</definedName>
    <definedName name="solver_num" localSheetId="7" hidden="1">1</definedName>
    <definedName name="solver_num" localSheetId="10" hidden="1">1</definedName>
    <definedName name="solver_num" localSheetId="11" hidden="1">1</definedName>
    <definedName name="solver_num" localSheetId="5" hidden="1">1</definedName>
    <definedName name="solver_num" localSheetId="4" hidden="1">1</definedName>
    <definedName name="solver_num" hidden="1">0</definedName>
    <definedName name="solver_nwt" hidden="1">1</definedName>
    <definedName name="solver_pre" hidden="1">0.000001</definedName>
    <definedName name="solver_rel1" hidden="1">2</definedName>
    <definedName name="solver_rel2" hidden="1">3</definedName>
    <definedName name="solver_rhs1" hidden="1">0</definedName>
    <definedName name="solver_rhs2" hidden="1">0</definedName>
    <definedName name="solver_scl" hidden="1">2</definedName>
    <definedName name="solver_sho" hidden="1">2</definedName>
    <definedName name="solver_tim" hidden="1">100</definedName>
    <definedName name="solver_tmp" hidden="1">0</definedName>
    <definedName name="solver_tol" hidden="1">0.05</definedName>
    <definedName name="solver_typ" hidden="1">3</definedName>
    <definedName name="solver_val" localSheetId="3" hidden="1">106.196</definedName>
    <definedName name="solver_val" localSheetId="6" hidden="1">106.196</definedName>
    <definedName name="solver_val" localSheetId="7" hidden="1">106.196</definedName>
    <definedName name="solver_val" localSheetId="10" hidden="1">106.196</definedName>
    <definedName name="solver_val" localSheetId="11" hidden="1">106.196</definedName>
    <definedName name="solver_val" localSheetId="5" hidden="1">106.196</definedName>
    <definedName name="solver_val" localSheetId="4" hidden="1">106.196</definedName>
    <definedName name="solver_val" hidden="1">19.66</definedName>
    <definedName name="ss" localSheetId="3"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ss" localSheetId="6"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ss" localSheetId="7"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ss" localSheetId="10"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ss" localSheetId="1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ss" localSheetId="5"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ss" localSheetId="4"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ss" localSheetId="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ss" localSheetId="2"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ss"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SSDF" localSheetId="3" hidden="1">{"'Quadro'!$A$4:$BG$78"}</definedName>
    <definedName name="SSDF" localSheetId="6" hidden="1">{"'Quadro'!$A$4:$BG$78"}</definedName>
    <definedName name="SSDF" localSheetId="7" hidden="1">{"'Quadro'!$A$4:$BG$78"}</definedName>
    <definedName name="SSDF" localSheetId="10" hidden="1">{"'Quadro'!$A$4:$BG$78"}</definedName>
    <definedName name="SSDF" localSheetId="11" hidden="1">{"'Quadro'!$A$4:$BG$78"}</definedName>
    <definedName name="SSDF" localSheetId="5" hidden="1">{"'Quadro'!$A$4:$BG$78"}</definedName>
    <definedName name="SSDF" localSheetId="4" hidden="1">{"'Quadro'!$A$4:$BG$78"}</definedName>
    <definedName name="SSDF" hidden="1">{"'Quadro'!$A$4:$BG$78"}</definedName>
    <definedName name="ssss">#REF!</definedName>
    <definedName name="sssss" localSheetId="3"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sssss" localSheetId="6"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sssss" localSheetId="7"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sssss" localSheetId="10"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sssss" localSheetId="11"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sssss" localSheetId="5"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sssss" localSheetId="4"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sssss"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sub.1" localSheetId="3">#REF!</definedName>
    <definedName name="sub.1" localSheetId="6">#REF!</definedName>
    <definedName name="sub.1" localSheetId="7">#REF!</definedName>
    <definedName name="sub.1" localSheetId="10">#REF!</definedName>
    <definedName name="sub.1" localSheetId="11">#REF!</definedName>
    <definedName name="sub.1">#REF!</definedName>
    <definedName name="sub.10" localSheetId="3">#REF!</definedName>
    <definedName name="sub.10" localSheetId="6">#REF!</definedName>
    <definedName name="sub.10" localSheetId="7">#REF!</definedName>
    <definedName name="sub.10" localSheetId="10">#REF!</definedName>
    <definedName name="sub.10">#REF!</definedName>
    <definedName name="sub.11" localSheetId="3">#REF!</definedName>
    <definedName name="sub.11" localSheetId="7">#REF!</definedName>
    <definedName name="sub.11" localSheetId="10">#REF!</definedName>
    <definedName name="sub.11">#REF!</definedName>
    <definedName name="sub.12" localSheetId="3">#REF!</definedName>
    <definedName name="sub.12" localSheetId="7">#REF!</definedName>
    <definedName name="sub.12">#REF!</definedName>
    <definedName name="sub.13" localSheetId="3">#REF!</definedName>
    <definedName name="sub.13" localSheetId="7">#REF!</definedName>
    <definedName name="sub.13">#REF!</definedName>
    <definedName name="sub.14" localSheetId="3">#REF!</definedName>
    <definedName name="sub.14" localSheetId="7">#REF!</definedName>
    <definedName name="sub.14">#REF!</definedName>
    <definedName name="sub.15" localSheetId="3">#REF!</definedName>
    <definedName name="sub.15" localSheetId="7">#REF!</definedName>
    <definedName name="sub.15">#REF!</definedName>
    <definedName name="sub.16" localSheetId="3">#REF!</definedName>
    <definedName name="sub.16" localSheetId="7">#REF!</definedName>
    <definedName name="sub.16">#REF!</definedName>
    <definedName name="sub.17" localSheetId="3">#REF!</definedName>
    <definedName name="sub.17" localSheetId="7">#REF!</definedName>
    <definedName name="sub.17">#REF!</definedName>
    <definedName name="sub.18" localSheetId="3">#REF!</definedName>
    <definedName name="sub.18" localSheetId="7">#REF!</definedName>
    <definedName name="sub.18">#REF!</definedName>
    <definedName name="sub.19" localSheetId="3">#REF!</definedName>
    <definedName name="sub.19" localSheetId="7">#REF!</definedName>
    <definedName name="sub.19">#REF!</definedName>
    <definedName name="sub.2" localSheetId="3">#REF!</definedName>
    <definedName name="sub.2" localSheetId="7">#REF!</definedName>
    <definedName name="sub.2">#REF!</definedName>
    <definedName name="sub.20" localSheetId="3">#REF!</definedName>
    <definedName name="sub.20" localSheetId="7">#REF!</definedName>
    <definedName name="sub.20">#REF!</definedName>
    <definedName name="sub.21" localSheetId="3">#REF!</definedName>
    <definedName name="sub.21" localSheetId="7">#REF!</definedName>
    <definedName name="sub.21">#REF!</definedName>
    <definedName name="sub.22" localSheetId="3">#REF!</definedName>
    <definedName name="sub.22" localSheetId="7">#REF!</definedName>
    <definedName name="sub.22">#REF!</definedName>
    <definedName name="sub.23" localSheetId="3">#REF!</definedName>
    <definedName name="sub.23" localSheetId="7">#REF!</definedName>
    <definedName name="sub.23">#REF!</definedName>
    <definedName name="sub.24" localSheetId="3">#REF!</definedName>
    <definedName name="sub.24" localSheetId="7">#REF!</definedName>
    <definedName name="sub.24">#REF!</definedName>
    <definedName name="sub.25" localSheetId="3">#REF!</definedName>
    <definedName name="sub.25" localSheetId="7">#REF!</definedName>
    <definedName name="sub.25">#REF!</definedName>
    <definedName name="sub.26" localSheetId="3">#REF!</definedName>
    <definedName name="sub.26" localSheetId="7">#REF!</definedName>
    <definedName name="sub.26">#REF!</definedName>
    <definedName name="sub.27" localSheetId="3">#REF!</definedName>
    <definedName name="sub.27" localSheetId="7">#REF!</definedName>
    <definedName name="sub.27">#REF!</definedName>
    <definedName name="sub.28" localSheetId="3">#REF!</definedName>
    <definedName name="sub.28" localSheetId="7">#REF!</definedName>
    <definedName name="sub.28">#REF!</definedName>
    <definedName name="sub.29" localSheetId="3">#REF!</definedName>
    <definedName name="sub.29" localSheetId="7">#REF!</definedName>
    <definedName name="sub.29">#REF!</definedName>
    <definedName name="sub.3" localSheetId="3">#REF!</definedName>
    <definedName name="sub.3" localSheetId="7">#REF!</definedName>
    <definedName name="sub.3">#REF!</definedName>
    <definedName name="sub.30" localSheetId="3">#REF!</definedName>
    <definedName name="sub.30" localSheetId="7">#REF!</definedName>
    <definedName name="sub.30">#REF!</definedName>
    <definedName name="sub.4" localSheetId="3">#REF!</definedName>
    <definedName name="sub.4" localSheetId="7">#REF!</definedName>
    <definedName name="sub.4">#REF!</definedName>
    <definedName name="sub.5" localSheetId="3">#REF!</definedName>
    <definedName name="sub.5" localSheetId="7">#REF!</definedName>
    <definedName name="sub.5">#REF!</definedName>
    <definedName name="sub.6" localSheetId="3">#REF!</definedName>
    <definedName name="sub.6" localSheetId="7">#REF!</definedName>
    <definedName name="sub.6">#REF!</definedName>
    <definedName name="sub.7" localSheetId="3">#REF!</definedName>
    <definedName name="sub.7" localSheetId="7">#REF!</definedName>
    <definedName name="sub.7">#REF!</definedName>
    <definedName name="sub.8" localSheetId="3">#REF!</definedName>
    <definedName name="sub.8" localSheetId="7">#REF!</definedName>
    <definedName name="sub.8">#REF!</definedName>
    <definedName name="sub.9" localSheetId="3">#REF!</definedName>
    <definedName name="sub.9" localSheetId="7">#REF!</definedName>
    <definedName name="sub.9">#REF!</definedName>
    <definedName name="SWE" localSheetId="3" hidden="1">{"'Quadro'!$A$4:$BG$78"}</definedName>
    <definedName name="SWE" localSheetId="6" hidden="1">{"'Quadro'!$A$4:$BG$78"}</definedName>
    <definedName name="SWE" localSheetId="7" hidden="1">{"'Quadro'!$A$4:$BG$78"}</definedName>
    <definedName name="SWE" localSheetId="10" hidden="1">{"'Quadro'!$A$4:$BG$78"}</definedName>
    <definedName name="SWE" localSheetId="11" hidden="1">{"'Quadro'!$A$4:$BG$78"}</definedName>
    <definedName name="SWE" localSheetId="5" hidden="1">{"'Quadro'!$A$4:$BG$78"}</definedName>
    <definedName name="SWE" localSheetId="4" hidden="1">{"'Quadro'!$A$4:$BG$78"}</definedName>
    <definedName name="SWE" hidden="1">{"'Quadro'!$A$4:$BG$78"}</definedName>
    <definedName name="SWR" localSheetId="3" hidden="1">{"'Quadro'!$A$4:$BG$78"}</definedName>
    <definedName name="SWR" localSheetId="6" hidden="1">{"'Quadro'!$A$4:$BG$78"}</definedName>
    <definedName name="SWR" localSheetId="7" hidden="1">{"'Quadro'!$A$4:$BG$78"}</definedName>
    <definedName name="SWR" localSheetId="10" hidden="1">{"'Quadro'!$A$4:$BG$78"}</definedName>
    <definedName name="SWR" localSheetId="11" hidden="1">{"'Quadro'!$A$4:$BG$78"}</definedName>
    <definedName name="SWR" localSheetId="5" hidden="1">{"'Quadro'!$A$4:$BG$78"}</definedName>
    <definedName name="SWR" localSheetId="4" hidden="1">{"'Quadro'!$A$4:$BG$78"}</definedName>
    <definedName name="SWR" hidden="1">{"'Quadro'!$A$4:$BG$78"}</definedName>
    <definedName name="synthese" localSheetId="3" hidden="1">{"tbl1",#N/A,FALSE,"regul";"tbl2",#N/A,FALSE,"regul"}</definedName>
    <definedName name="synthese" localSheetId="6" hidden="1">{"tbl1",#N/A,FALSE,"regul";"tbl2",#N/A,FALSE,"regul"}</definedName>
    <definedName name="synthese" localSheetId="7" hidden="1">{"tbl1",#N/A,FALSE,"regul";"tbl2",#N/A,FALSE,"regul"}</definedName>
    <definedName name="synthese" localSheetId="10" hidden="1">{"tbl1",#N/A,FALSE,"regul";"tbl2",#N/A,FALSE,"regul"}</definedName>
    <definedName name="synthese" localSheetId="11" hidden="1">{"tbl1",#N/A,FALSE,"regul";"tbl2",#N/A,FALSE,"regul"}</definedName>
    <definedName name="synthese" localSheetId="5" hidden="1">{"tbl1",#N/A,FALSE,"regul";"tbl2",#N/A,FALSE,"regul"}</definedName>
    <definedName name="synthese" localSheetId="4" hidden="1">{"tbl1",#N/A,FALSE,"regul";"tbl2",#N/A,FALSE,"regul"}</definedName>
    <definedName name="synthese" hidden="1">{"tbl1",#N/A,FALSE,"regul";"tbl2",#N/A,FALSE,"regul"}</definedName>
    <definedName name="t" localSheetId="3" hidden="1">#REF!</definedName>
    <definedName name="t" localSheetId="6" hidden="1">#REF!</definedName>
    <definedName name="t" localSheetId="7" hidden="1">#REF!</definedName>
    <definedName name="t" localSheetId="10" hidden="1">#REF!</definedName>
    <definedName name="t" localSheetId="11" hidden="1">#REF!</definedName>
    <definedName name="t" hidden="1">#REF!</definedName>
    <definedName name="T_DEPENDENCIAS">#REF!</definedName>
    <definedName name="TD">[19]PainelControle!$T$14</definedName>
    <definedName name="TD_A">[19]PainelControle!$I$68</definedName>
    <definedName name="temp" localSheetId="3"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temp" localSheetId="6"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temp" localSheetId="7"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temp" localSheetId="10"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temp" localSheetId="11"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temp" localSheetId="5"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temp" localSheetId="4"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temp"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testa" localSheetId="3"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testa" localSheetId="6"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testa" localSheetId="7"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testa" localSheetId="10"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testa" localSheetId="11"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testa" localSheetId="5"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testa" localSheetId="4"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testa"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teste" localSheetId="3" hidden="1">[17]!Header1-1 &amp; "." &amp; MAX(1,COUNTA(INDEX(#REF!,MATCH([17]!Header1-1,#REF!,FALSE)):#REF!))</definedName>
    <definedName name="teste" localSheetId="6" hidden="1">[17]!Header1-1 &amp; "." &amp; MAX(1,COUNTA(INDEX(#REF!,MATCH([17]!Header1-1,#REF!,FALSE)):#REF!))</definedName>
    <definedName name="teste" localSheetId="7" hidden="1">[17]!Header1-1 &amp; "." &amp; MAX(1,COUNTA(INDEX(#REF!,MATCH([17]!Header1-1,#REF!,FALSE)):#REF!))</definedName>
    <definedName name="teste" localSheetId="10" hidden="1">[17]!Header1-1 &amp; "." &amp; MAX(1,COUNTA(INDEX(#REF!,MATCH([17]!Header1-1,#REF!,FALSE)):#REF!))</definedName>
    <definedName name="teste" localSheetId="11" hidden="1">[17]!Header1-1 &amp; "." &amp; MAX(1,COUNTA(INDEX(#REF!,MATCH([17]!Header1-1,#REF!,FALSE)):#REF!))</definedName>
    <definedName name="teste" localSheetId="5" hidden="1">[17]!Header1-1 &amp; "." &amp; MAX(1,COUNTA(INDEX(#REF!,MATCH([17]!Header1-1,#REF!,FALSE)):#REF!))</definedName>
    <definedName name="teste" localSheetId="4" hidden="1">[17]!Header1-1 &amp; "." &amp; MAX(1,COUNTA(INDEX(#REF!,MATCH([17]!Header1-1,#REF!,FALSE)):#REF!))</definedName>
    <definedName name="teste" localSheetId="1" hidden="1">{#N/A,#N/A,TRUE,"Resumo de Preços"}</definedName>
    <definedName name="teste" localSheetId="2" hidden="1">{#N/A,#N/A,TRUE,"Resumo de Preços"}</definedName>
    <definedName name="teste" hidden="1">{#N/A,#N/A,TRUE,"Resumo de Preços"}</definedName>
    <definedName name="TextRefCopyRangeCount" hidden="1">15</definedName>
    <definedName name="THR" localSheetId="3" hidden="1">{"'gráf jan00'!$A$1:$AK$41"}</definedName>
    <definedName name="THR" localSheetId="6" hidden="1">{"'gráf jan00'!$A$1:$AK$41"}</definedName>
    <definedName name="THR" localSheetId="7" hidden="1">{"'gráf jan00'!$A$1:$AK$41"}</definedName>
    <definedName name="THR" localSheetId="10" hidden="1">{"'gráf jan00'!$A$1:$AK$41"}</definedName>
    <definedName name="THR" localSheetId="11" hidden="1">{"'gráf jan00'!$A$1:$AK$41"}</definedName>
    <definedName name="THR" localSheetId="5" hidden="1">{"'gráf jan00'!$A$1:$AK$41"}</definedName>
    <definedName name="THR" localSheetId="4" hidden="1">{"'gráf jan00'!$A$1:$AK$41"}</definedName>
    <definedName name="THR" hidden="1">{"'gráf jan00'!$A$1:$AK$41"}</definedName>
    <definedName name="THTRHT" localSheetId="3" hidden="1">{"'gráf jan00'!$A$1:$AK$41"}</definedName>
    <definedName name="THTRHT" localSheetId="6" hidden="1">{"'gráf jan00'!$A$1:$AK$41"}</definedName>
    <definedName name="THTRHT" localSheetId="7" hidden="1">{"'gráf jan00'!$A$1:$AK$41"}</definedName>
    <definedName name="THTRHT" localSheetId="10" hidden="1">{"'gráf jan00'!$A$1:$AK$41"}</definedName>
    <definedName name="THTRHT" localSheetId="11" hidden="1">{"'gráf jan00'!$A$1:$AK$41"}</definedName>
    <definedName name="THTRHT" localSheetId="5" hidden="1">{"'gráf jan00'!$A$1:$AK$41"}</definedName>
    <definedName name="THTRHT" localSheetId="4" hidden="1">{"'gráf jan00'!$A$1:$AK$41"}</definedName>
    <definedName name="THTRHT" hidden="1">{"'gráf jan00'!$A$1:$AK$41"}</definedName>
    <definedName name="tinfl">[19]PainelControle!$I$70</definedName>
    <definedName name="_xlnm.Print_Titles" localSheetId="15">'SIEC-CPTM'!$1:$17</definedName>
    <definedName name="tjtrj" localSheetId="3"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tjtrj" localSheetId="6"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tjtrj" localSheetId="7"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tjtrj" localSheetId="10"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tjtrj" localSheetId="11"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tjtrj" localSheetId="5"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tjtrj" localSheetId="4"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tjtrj"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topo">#REF!</definedName>
    <definedName name="toto" localSheetId="3" hidden="1">{"'Database'!$A$1:$F$130"}</definedName>
    <definedName name="toto" localSheetId="6" hidden="1">{"'Database'!$A$1:$F$130"}</definedName>
    <definedName name="toto" localSheetId="7" hidden="1">{"'Database'!$A$1:$F$130"}</definedName>
    <definedName name="toto" localSheetId="10" hidden="1">{"'Database'!$A$1:$F$130"}</definedName>
    <definedName name="toto" localSheetId="11" hidden="1">{"'Database'!$A$1:$F$130"}</definedName>
    <definedName name="toto" localSheetId="5" hidden="1">{"'Database'!$A$1:$F$130"}</definedName>
    <definedName name="toto" localSheetId="4" hidden="1">{"'Database'!$A$1:$F$130"}</definedName>
    <definedName name="toto" hidden="1">{"'Database'!$A$1:$F$130"}</definedName>
    <definedName name="tøv" localSheetId="3" hidden="1">{#N/A,#N/A,FALSE,"Skjema 6.1 ";#N/A,#N/A,FALSE,"Skjema 6.2";#N/A,#N/A,FALSE,"Skjema 6.3";#N/A,#N/A,FALSE,"Skjema 6.4 ";#N/A,#N/A,FALSE,"Skjema 6.5";#N/A,#N/A,FALSE,"Skjema 6.6 ";#N/A,#N/A,FALSE,"Skjema 6.7 ";#N/A,#N/A,FALSE,"Skjema 6.8 ";#N/A,#N/A,FALSE,"Skjema 6.9";#N/A,#N/A,FALSE,"Skjema 6.10 ";#N/A,#N/A,FALSE,"Skjema 6.11 ";#N/A,#N/A,FALSE,"Skjema 6.12 ";#N/A,#N/A,FALSE,"Skjema 6.13 ";#N/A,#N/A,FALSE,"Skjema 6.14";#N/A,#N/A,FALSE,"Skjema 6.15 ";#N/A,#N/A,FALSE,"Skjema 6.16 ";#N/A,#N/A,FALSE,"Skjema 6.17 ";#N/A,#N/A,FALSE,"Skjema 6.18 ";#N/A,#N/A,FALSE,"Skjema 6.19 ";#N/A,#N/A,FALSE,"Skjema 6.20 ";#N/A,#N/A,FALSE,"Skjema 6.21";#N/A,#N/A,FALSE,"Skjema 6.22 ";#N/A,#N/A,FALSE,"Skjema 6.23 ";#N/A,#N/A,FALSE,"Skjema 6.24 ";#N/A,#N/A,FALSE,"Skjema 6.25";#N/A,#N/A,FALSE,"Skjema 6.26 ";#N/A,#N/A,FALSE,"Skjema 6.27";#N/A,#N/A,FALSE,"Skjema 6.28 ";#N/A,#N/A,FALSE,"Skjema 6.29";#N/A,#N/A,FALSE,"Skjema 6.30";#N/A,#N/A,FALSE,"Skjema 6.31";#N/A,#N/A,FALSE,"Skjema 6.31b"}</definedName>
    <definedName name="tøv" localSheetId="6" hidden="1">{#N/A,#N/A,FALSE,"Skjema 6.1 ";#N/A,#N/A,FALSE,"Skjema 6.2";#N/A,#N/A,FALSE,"Skjema 6.3";#N/A,#N/A,FALSE,"Skjema 6.4 ";#N/A,#N/A,FALSE,"Skjema 6.5";#N/A,#N/A,FALSE,"Skjema 6.6 ";#N/A,#N/A,FALSE,"Skjema 6.7 ";#N/A,#N/A,FALSE,"Skjema 6.8 ";#N/A,#N/A,FALSE,"Skjema 6.9";#N/A,#N/A,FALSE,"Skjema 6.10 ";#N/A,#N/A,FALSE,"Skjema 6.11 ";#N/A,#N/A,FALSE,"Skjema 6.12 ";#N/A,#N/A,FALSE,"Skjema 6.13 ";#N/A,#N/A,FALSE,"Skjema 6.14";#N/A,#N/A,FALSE,"Skjema 6.15 ";#N/A,#N/A,FALSE,"Skjema 6.16 ";#N/A,#N/A,FALSE,"Skjema 6.17 ";#N/A,#N/A,FALSE,"Skjema 6.18 ";#N/A,#N/A,FALSE,"Skjema 6.19 ";#N/A,#N/A,FALSE,"Skjema 6.20 ";#N/A,#N/A,FALSE,"Skjema 6.21";#N/A,#N/A,FALSE,"Skjema 6.22 ";#N/A,#N/A,FALSE,"Skjema 6.23 ";#N/A,#N/A,FALSE,"Skjema 6.24 ";#N/A,#N/A,FALSE,"Skjema 6.25";#N/A,#N/A,FALSE,"Skjema 6.26 ";#N/A,#N/A,FALSE,"Skjema 6.27";#N/A,#N/A,FALSE,"Skjema 6.28 ";#N/A,#N/A,FALSE,"Skjema 6.29";#N/A,#N/A,FALSE,"Skjema 6.30";#N/A,#N/A,FALSE,"Skjema 6.31";#N/A,#N/A,FALSE,"Skjema 6.31b"}</definedName>
    <definedName name="tøv" localSheetId="7" hidden="1">{#N/A,#N/A,FALSE,"Skjema 6.1 ";#N/A,#N/A,FALSE,"Skjema 6.2";#N/A,#N/A,FALSE,"Skjema 6.3";#N/A,#N/A,FALSE,"Skjema 6.4 ";#N/A,#N/A,FALSE,"Skjema 6.5";#N/A,#N/A,FALSE,"Skjema 6.6 ";#N/A,#N/A,FALSE,"Skjema 6.7 ";#N/A,#N/A,FALSE,"Skjema 6.8 ";#N/A,#N/A,FALSE,"Skjema 6.9";#N/A,#N/A,FALSE,"Skjema 6.10 ";#N/A,#N/A,FALSE,"Skjema 6.11 ";#N/A,#N/A,FALSE,"Skjema 6.12 ";#N/A,#N/A,FALSE,"Skjema 6.13 ";#N/A,#N/A,FALSE,"Skjema 6.14";#N/A,#N/A,FALSE,"Skjema 6.15 ";#N/A,#N/A,FALSE,"Skjema 6.16 ";#N/A,#N/A,FALSE,"Skjema 6.17 ";#N/A,#N/A,FALSE,"Skjema 6.18 ";#N/A,#N/A,FALSE,"Skjema 6.19 ";#N/A,#N/A,FALSE,"Skjema 6.20 ";#N/A,#N/A,FALSE,"Skjema 6.21";#N/A,#N/A,FALSE,"Skjema 6.22 ";#N/A,#N/A,FALSE,"Skjema 6.23 ";#N/A,#N/A,FALSE,"Skjema 6.24 ";#N/A,#N/A,FALSE,"Skjema 6.25";#N/A,#N/A,FALSE,"Skjema 6.26 ";#N/A,#N/A,FALSE,"Skjema 6.27";#N/A,#N/A,FALSE,"Skjema 6.28 ";#N/A,#N/A,FALSE,"Skjema 6.29";#N/A,#N/A,FALSE,"Skjema 6.30";#N/A,#N/A,FALSE,"Skjema 6.31";#N/A,#N/A,FALSE,"Skjema 6.31b"}</definedName>
    <definedName name="tøv" localSheetId="10" hidden="1">{#N/A,#N/A,FALSE,"Skjema 6.1 ";#N/A,#N/A,FALSE,"Skjema 6.2";#N/A,#N/A,FALSE,"Skjema 6.3";#N/A,#N/A,FALSE,"Skjema 6.4 ";#N/A,#N/A,FALSE,"Skjema 6.5";#N/A,#N/A,FALSE,"Skjema 6.6 ";#N/A,#N/A,FALSE,"Skjema 6.7 ";#N/A,#N/A,FALSE,"Skjema 6.8 ";#N/A,#N/A,FALSE,"Skjema 6.9";#N/A,#N/A,FALSE,"Skjema 6.10 ";#N/A,#N/A,FALSE,"Skjema 6.11 ";#N/A,#N/A,FALSE,"Skjema 6.12 ";#N/A,#N/A,FALSE,"Skjema 6.13 ";#N/A,#N/A,FALSE,"Skjema 6.14";#N/A,#N/A,FALSE,"Skjema 6.15 ";#N/A,#N/A,FALSE,"Skjema 6.16 ";#N/A,#N/A,FALSE,"Skjema 6.17 ";#N/A,#N/A,FALSE,"Skjema 6.18 ";#N/A,#N/A,FALSE,"Skjema 6.19 ";#N/A,#N/A,FALSE,"Skjema 6.20 ";#N/A,#N/A,FALSE,"Skjema 6.21";#N/A,#N/A,FALSE,"Skjema 6.22 ";#N/A,#N/A,FALSE,"Skjema 6.23 ";#N/A,#N/A,FALSE,"Skjema 6.24 ";#N/A,#N/A,FALSE,"Skjema 6.25";#N/A,#N/A,FALSE,"Skjema 6.26 ";#N/A,#N/A,FALSE,"Skjema 6.27";#N/A,#N/A,FALSE,"Skjema 6.28 ";#N/A,#N/A,FALSE,"Skjema 6.29";#N/A,#N/A,FALSE,"Skjema 6.30";#N/A,#N/A,FALSE,"Skjema 6.31";#N/A,#N/A,FALSE,"Skjema 6.31b"}</definedName>
    <definedName name="tøv" localSheetId="11" hidden="1">{#N/A,#N/A,FALSE,"Skjema 6.1 ";#N/A,#N/A,FALSE,"Skjema 6.2";#N/A,#N/A,FALSE,"Skjema 6.3";#N/A,#N/A,FALSE,"Skjema 6.4 ";#N/A,#N/A,FALSE,"Skjema 6.5";#N/A,#N/A,FALSE,"Skjema 6.6 ";#N/A,#N/A,FALSE,"Skjema 6.7 ";#N/A,#N/A,FALSE,"Skjema 6.8 ";#N/A,#N/A,FALSE,"Skjema 6.9";#N/A,#N/A,FALSE,"Skjema 6.10 ";#N/A,#N/A,FALSE,"Skjema 6.11 ";#N/A,#N/A,FALSE,"Skjema 6.12 ";#N/A,#N/A,FALSE,"Skjema 6.13 ";#N/A,#N/A,FALSE,"Skjema 6.14";#N/A,#N/A,FALSE,"Skjema 6.15 ";#N/A,#N/A,FALSE,"Skjema 6.16 ";#N/A,#N/A,FALSE,"Skjema 6.17 ";#N/A,#N/A,FALSE,"Skjema 6.18 ";#N/A,#N/A,FALSE,"Skjema 6.19 ";#N/A,#N/A,FALSE,"Skjema 6.20 ";#N/A,#N/A,FALSE,"Skjema 6.21";#N/A,#N/A,FALSE,"Skjema 6.22 ";#N/A,#N/A,FALSE,"Skjema 6.23 ";#N/A,#N/A,FALSE,"Skjema 6.24 ";#N/A,#N/A,FALSE,"Skjema 6.25";#N/A,#N/A,FALSE,"Skjema 6.26 ";#N/A,#N/A,FALSE,"Skjema 6.27";#N/A,#N/A,FALSE,"Skjema 6.28 ";#N/A,#N/A,FALSE,"Skjema 6.29";#N/A,#N/A,FALSE,"Skjema 6.30";#N/A,#N/A,FALSE,"Skjema 6.31";#N/A,#N/A,FALSE,"Skjema 6.31b"}</definedName>
    <definedName name="tøv" localSheetId="5" hidden="1">{#N/A,#N/A,FALSE,"Skjema 6.1 ";#N/A,#N/A,FALSE,"Skjema 6.2";#N/A,#N/A,FALSE,"Skjema 6.3";#N/A,#N/A,FALSE,"Skjema 6.4 ";#N/A,#N/A,FALSE,"Skjema 6.5";#N/A,#N/A,FALSE,"Skjema 6.6 ";#N/A,#N/A,FALSE,"Skjema 6.7 ";#N/A,#N/A,FALSE,"Skjema 6.8 ";#N/A,#N/A,FALSE,"Skjema 6.9";#N/A,#N/A,FALSE,"Skjema 6.10 ";#N/A,#N/A,FALSE,"Skjema 6.11 ";#N/A,#N/A,FALSE,"Skjema 6.12 ";#N/A,#N/A,FALSE,"Skjema 6.13 ";#N/A,#N/A,FALSE,"Skjema 6.14";#N/A,#N/A,FALSE,"Skjema 6.15 ";#N/A,#N/A,FALSE,"Skjema 6.16 ";#N/A,#N/A,FALSE,"Skjema 6.17 ";#N/A,#N/A,FALSE,"Skjema 6.18 ";#N/A,#N/A,FALSE,"Skjema 6.19 ";#N/A,#N/A,FALSE,"Skjema 6.20 ";#N/A,#N/A,FALSE,"Skjema 6.21";#N/A,#N/A,FALSE,"Skjema 6.22 ";#N/A,#N/A,FALSE,"Skjema 6.23 ";#N/A,#N/A,FALSE,"Skjema 6.24 ";#N/A,#N/A,FALSE,"Skjema 6.25";#N/A,#N/A,FALSE,"Skjema 6.26 ";#N/A,#N/A,FALSE,"Skjema 6.27";#N/A,#N/A,FALSE,"Skjema 6.28 ";#N/A,#N/A,FALSE,"Skjema 6.29";#N/A,#N/A,FALSE,"Skjema 6.30";#N/A,#N/A,FALSE,"Skjema 6.31";#N/A,#N/A,FALSE,"Skjema 6.31b"}</definedName>
    <definedName name="tøv" localSheetId="4" hidden="1">{#N/A,#N/A,FALSE,"Skjema 6.1 ";#N/A,#N/A,FALSE,"Skjema 6.2";#N/A,#N/A,FALSE,"Skjema 6.3";#N/A,#N/A,FALSE,"Skjema 6.4 ";#N/A,#N/A,FALSE,"Skjema 6.5";#N/A,#N/A,FALSE,"Skjema 6.6 ";#N/A,#N/A,FALSE,"Skjema 6.7 ";#N/A,#N/A,FALSE,"Skjema 6.8 ";#N/A,#N/A,FALSE,"Skjema 6.9";#N/A,#N/A,FALSE,"Skjema 6.10 ";#N/A,#N/A,FALSE,"Skjema 6.11 ";#N/A,#N/A,FALSE,"Skjema 6.12 ";#N/A,#N/A,FALSE,"Skjema 6.13 ";#N/A,#N/A,FALSE,"Skjema 6.14";#N/A,#N/A,FALSE,"Skjema 6.15 ";#N/A,#N/A,FALSE,"Skjema 6.16 ";#N/A,#N/A,FALSE,"Skjema 6.17 ";#N/A,#N/A,FALSE,"Skjema 6.18 ";#N/A,#N/A,FALSE,"Skjema 6.19 ";#N/A,#N/A,FALSE,"Skjema 6.20 ";#N/A,#N/A,FALSE,"Skjema 6.21";#N/A,#N/A,FALSE,"Skjema 6.22 ";#N/A,#N/A,FALSE,"Skjema 6.23 ";#N/A,#N/A,FALSE,"Skjema 6.24 ";#N/A,#N/A,FALSE,"Skjema 6.25";#N/A,#N/A,FALSE,"Skjema 6.26 ";#N/A,#N/A,FALSE,"Skjema 6.27";#N/A,#N/A,FALSE,"Skjema 6.28 ";#N/A,#N/A,FALSE,"Skjema 6.29";#N/A,#N/A,FALSE,"Skjema 6.30";#N/A,#N/A,FALSE,"Skjema 6.31";#N/A,#N/A,FALSE,"Skjema 6.31b"}</definedName>
    <definedName name="tøv" hidden="1">{#N/A,#N/A,FALSE,"Skjema 6.1 ";#N/A,#N/A,FALSE,"Skjema 6.2";#N/A,#N/A,FALSE,"Skjema 6.3";#N/A,#N/A,FALSE,"Skjema 6.4 ";#N/A,#N/A,FALSE,"Skjema 6.5";#N/A,#N/A,FALSE,"Skjema 6.6 ";#N/A,#N/A,FALSE,"Skjema 6.7 ";#N/A,#N/A,FALSE,"Skjema 6.8 ";#N/A,#N/A,FALSE,"Skjema 6.9";#N/A,#N/A,FALSE,"Skjema 6.10 ";#N/A,#N/A,FALSE,"Skjema 6.11 ";#N/A,#N/A,FALSE,"Skjema 6.12 ";#N/A,#N/A,FALSE,"Skjema 6.13 ";#N/A,#N/A,FALSE,"Skjema 6.14";#N/A,#N/A,FALSE,"Skjema 6.15 ";#N/A,#N/A,FALSE,"Skjema 6.16 ";#N/A,#N/A,FALSE,"Skjema 6.17 ";#N/A,#N/A,FALSE,"Skjema 6.18 ";#N/A,#N/A,FALSE,"Skjema 6.19 ";#N/A,#N/A,FALSE,"Skjema 6.20 ";#N/A,#N/A,FALSE,"Skjema 6.21";#N/A,#N/A,FALSE,"Skjema 6.22 ";#N/A,#N/A,FALSE,"Skjema 6.23 ";#N/A,#N/A,FALSE,"Skjema 6.24 ";#N/A,#N/A,FALSE,"Skjema 6.25";#N/A,#N/A,FALSE,"Skjema 6.26 ";#N/A,#N/A,FALSE,"Skjema 6.27";#N/A,#N/A,FALSE,"Skjema 6.28 ";#N/A,#N/A,FALSE,"Skjema 6.29";#N/A,#N/A,FALSE,"Skjema 6.30";#N/A,#N/A,FALSE,"Skjema 6.31";#N/A,#N/A,FALSE,"Skjema 6.31b"}</definedName>
    <definedName name="tran" localSheetId="3" hidden="1">{"'Quadro'!$A$4:$BG$78"}</definedName>
    <definedName name="tran" localSheetId="6" hidden="1">{"'Quadro'!$A$4:$BG$78"}</definedName>
    <definedName name="tran" localSheetId="7" hidden="1">{"'Quadro'!$A$4:$BG$78"}</definedName>
    <definedName name="tran" localSheetId="10" hidden="1">{"'Quadro'!$A$4:$BG$78"}</definedName>
    <definedName name="tran" localSheetId="11" hidden="1">{"'Quadro'!$A$4:$BG$78"}</definedName>
    <definedName name="tran" localSheetId="5" hidden="1">{"'Quadro'!$A$4:$BG$78"}</definedName>
    <definedName name="tran" localSheetId="4" hidden="1">{"'Quadro'!$A$4:$BG$78"}</definedName>
    <definedName name="tran" hidden="1">{"'Quadro'!$A$4:$BG$78"}</definedName>
    <definedName name="transp36" localSheetId="3"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transp36" localSheetId="6"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transp36" localSheetId="7"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transp36" localSheetId="10"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transp36" localSheetId="11"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transp36" localSheetId="5"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transp36" localSheetId="4"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transp36"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transp36a" localSheetId="3"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transp36a" localSheetId="6"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transp36a" localSheetId="7"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transp36a" localSheetId="10"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transp36a" localSheetId="11"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transp36a" localSheetId="5"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transp36a" localSheetId="4"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transp36a"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trem" localSheetId="3" hidden="1">{"'gráf jan00'!$A$1:$AK$41"}</definedName>
    <definedName name="trem" localSheetId="6" hidden="1">{"'gráf jan00'!$A$1:$AK$41"}</definedName>
    <definedName name="trem" localSheetId="7" hidden="1">{"'gráf jan00'!$A$1:$AK$41"}</definedName>
    <definedName name="trem" localSheetId="10" hidden="1">{"'gráf jan00'!$A$1:$AK$41"}</definedName>
    <definedName name="trem" localSheetId="11" hidden="1">{"'gráf jan00'!$A$1:$AK$41"}</definedName>
    <definedName name="trem" localSheetId="5" hidden="1">{"'gráf jan00'!$A$1:$AK$41"}</definedName>
    <definedName name="trem" localSheetId="4" hidden="1">{"'gráf jan00'!$A$1:$AK$41"}</definedName>
    <definedName name="trem" hidden="1">{"'gráf jan00'!$A$1:$AK$41"}</definedName>
    <definedName name="trezeabril" localSheetId="3" hidden="1">{"'gráf jan00'!$A$1:$AK$41"}</definedName>
    <definedName name="trezeabril" localSheetId="6" hidden="1">{"'gráf jan00'!$A$1:$AK$41"}</definedName>
    <definedName name="trezeabril" localSheetId="7" hidden="1">{"'gráf jan00'!$A$1:$AK$41"}</definedName>
    <definedName name="trezeabril" localSheetId="10" hidden="1">{"'gráf jan00'!$A$1:$AK$41"}</definedName>
    <definedName name="trezeabril" localSheetId="11" hidden="1">{"'gráf jan00'!$A$1:$AK$41"}</definedName>
    <definedName name="trezeabril" localSheetId="5" hidden="1">{"'gráf jan00'!$A$1:$AK$41"}</definedName>
    <definedName name="trezeabril" localSheetId="4" hidden="1">{"'gráf jan00'!$A$1:$AK$41"}</definedName>
    <definedName name="trezeabril" hidden="1">{"'gráf jan00'!$A$1:$AK$41"}</definedName>
    <definedName name="TREZEABRILL" localSheetId="3" hidden="1">{"'gráf jan00'!$A$1:$AK$41"}</definedName>
    <definedName name="TREZEABRILL" localSheetId="6" hidden="1">{"'gráf jan00'!$A$1:$AK$41"}</definedName>
    <definedName name="TREZEABRILL" localSheetId="7" hidden="1">{"'gráf jan00'!$A$1:$AK$41"}</definedName>
    <definedName name="TREZEABRILL" localSheetId="10" hidden="1">{"'gráf jan00'!$A$1:$AK$41"}</definedName>
    <definedName name="TREZEABRILL" localSheetId="11" hidden="1">{"'gráf jan00'!$A$1:$AK$41"}</definedName>
    <definedName name="TREZEABRILL" localSheetId="5" hidden="1">{"'gráf jan00'!$A$1:$AK$41"}</definedName>
    <definedName name="TREZEABRILL" localSheetId="4" hidden="1">{"'gráf jan00'!$A$1:$AK$41"}</definedName>
    <definedName name="TREZEABRILL" hidden="1">{"'gráf jan00'!$A$1:$AK$41"}</definedName>
    <definedName name="trezeagosto" localSheetId="3" hidden="1">{"'gráf jan00'!$A$1:$AK$41"}</definedName>
    <definedName name="trezeagosto" localSheetId="6" hidden="1">{"'gráf jan00'!$A$1:$AK$41"}</definedName>
    <definedName name="trezeagosto" localSheetId="7" hidden="1">{"'gráf jan00'!$A$1:$AK$41"}</definedName>
    <definedName name="trezeagosto" localSheetId="10" hidden="1">{"'gráf jan00'!$A$1:$AK$41"}</definedName>
    <definedName name="trezeagosto" localSheetId="11" hidden="1">{"'gráf jan00'!$A$1:$AK$41"}</definedName>
    <definedName name="trezeagosto" localSheetId="5" hidden="1">{"'gráf jan00'!$A$1:$AK$41"}</definedName>
    <definedName name="trezeagosto" localSheetId="4" hidden="1">{"'gráf jan00'!$A$1:$AK$41"}</definedName>
    <definedName name="trezeagosto" hidden="1">{"'gráf jan00'!$A$1:$AK$41"}</definedName>
    <definedName name="trezeagosto2" localSheetId="3" hidden="1">{"'gráf jan00'!$A$1:$AK$41"}</definedName>
    <definedName name="trezeagosto2" localSheetId="6" hidden="1">{"'gráf jan00'!$A$1:$AK$41"}</definedName>
    <definedName name="trezeagosto2" localSheetId="7" hidden="1">{"'gráf jan00'!$A$1:$AK$41"}</definedName>
    <definedName name="trezeagosto2" localSheetId="10" hidden="1">{"'gráf jan00'!$A$1:$AK$41"}</definedName>
    <definedName name="trezeagosto2" localSheetId="11" hidden="1">{"'gráf jan00'!$A$1:$AK$41"}</definedName>
    <definedName name="trezeagosto2" localSheetId="5" hidden="1">{"'gráf jan00'!$A$1:$AK$41"}</definedName>
    <definedName name="trezeagosto2" localSheetId="4" hidden="1">{"'gráf jan00'!$A$1:$AK$41"}</definedName>
    <definedName name="trezeagosto2" hidden="1">{"'gráf jan00'!$A$1:$AK$41"}</definedName>
    <definedName name="trezeagosto3" localSheetId="3" hidden="1">{"'gráf jan00'!$A$1:$AK$41"}</definedName>
    <definedName name="trezeagosto3" localSheetId="6" hidden="1">{"'gráf jan00'!$A$1:$AK$41"}</definedName>
    <definedName name="trezeagosto3" localSheetId="7" hidden="1">{"'gráf jan00'!$A$1:$AK$41"}</definedName>
    <definedName name="trezeagosto3" localSheetId="10" hidden="1">{"'gráf jan00'!$A$1:$AK$41"}</definedName>
    <definedName name="trezeagosto3" localSheetId="11" hidden="1">{"'gráf jan00'!$A$1:$AK$41"}</definedName>
    <definedName name="trezeagosto3" localSheetId="5" hidden="1">{"'gráf jan00'!$A$1:$AK$41"}</definedName>
    <definedName name="trezeagosto3" localSheetId="4" hidden="1">{"'gráf jan00'!$A$1:$AK$41"}</definedName>
    <definedName name="trezeagosto3" hidden="1">{"'gráf jan00'!$A$1:$AK$41"}</definedName>
    <definedName name="trezeagosto4" localSheetId="3" hidden="1">{"'gráf jan00'!$A$1:$AK$41"}</definedName>
    <definedName name="trezeagosto4" localSheetId="6" hidden="1">{"'gráf jan00'!$A$1:$AK$41"}</definedName>
    <definedName name="trezeagosto4" localSheetId="7" hidden="1">{"'gráf jan00'!$A$1:$AK$41"}</definedName>
    <definedName name="trezeagosto4" localSheetId="10" hidden="1">{"'gráf jan00'!$A$1:$AK$41"}</definedName>
    <definedName name="trezeagosto4" localSheetId="11" hidden="1">{"'gráf jan00'!$A$1:$AK$41"}</definedName>
    <definedName name="trezeagosto4" localSheetId="5" hidden="1">{"'gráf jan00'!$A$1:$AK$41"}</definedName>
    <definedName name="trezeagosto4" localSheetId="4" hidden="1">{"'gráf jan00'!$A$1:$AK$41"}</definedName>
    <definedName name="trezeagosto4" hidden="1">{"'gráf jan00'!$A$1:$AK$41"}</definedName>
    <definedName name="trezeagosto5" localSheetId="3" hidden="1">{"'gráf jan00'!$A$1:$AK$41"}</definedName>
    <definedName name="trezeagosto5" localSheetId="6" hidden="1">{"'gráf jan00'!$A$1:$AK$41"}</definedName>
    <definedName name="trezeagosto5" localSheetId="7" hidden="1">{"'gráf jan00'!$A$1:$AK$41"}</definedName>
    <definedName name="trezeagosto5" localSheetId="10" hidden="1">{"'gráf jan00'!$A$1:$AK$41"}</definedName>
    <definedName name="trezeagosto5" localSheetId="11" hidden="1">{"'gráf jan00'!$A$1:$AK$41"}</definedName>
    <definedName name="trezeagosto5" localSheetId="5" hidden="1">{"'gráf jan00'!$A$1:$AK$41"}</definedName>
    <definedName name="trezeagosto5" localSheetId="4" hidden="1">{"'gráf jan00'!$A$1:$AK$41"}</definedName>
    <definedName name="trezeagosto5" hidden="1">{"'gráf jan00'!$A$1:$AK$41"}</definedName>
    <definedName name="trezeagosto6" localSheetId="3" hidden="1">{"'gráf jan00'!$A$1:$AK$41"}</definedName>
    <definedName name="trezeagosto6" localSheetId="6" hidden="1">{"'gráf jan00'!$A$1:$AK$41"}</definedName>
    <definedName name="trezeagosto6" localSheetId="7" hidden="1">{"'gráf jan00'!$A$1:$AK$41"}</definedName>
    <definedName name="trezeagosto6" localSheetId="10" hidden="1">{"'gráf jan00'!$A$1:$AK$41"}</definedName>
    <definedName name="trezeagosto6" localSheetId="11" hidden="1">{"'gráf jan00'!$A$1:$AK$41"}</definedName>
    <definedName name="trezeagosto6" localSheetId="5" hidden="1">{"'gráf jan00'!$A$1:$AK$41"}</definedName>
    <definedName name="trezeagosto6" localSheetId="4" hidden="1">{"'gráf jan00'!$A$1:$AK$41"}</definedName>
    <definedName name="trezeagosto6" hidden="1">{"'gráf jan00'!$A$1:$AK$41"}</definedName>
    <definedName name="trezeagosto7" localSheetId="3" hidden="1">{"'gráf jan00'!$A$1:$AK$41"}</definedName>
    <definedName name="trezeagosto7" localSheetId="6" hidden="1">{"'gráf jan00'!$A$1:$AK$41"}</definedName>
    <definedName name="trezeagosto7" localSheetId="7" hidden="1">{"'gráf jan00'!$A$1:$AK$41"}</definedName>
    <definedName name="trezeagosto7" localSheetId="10" hidden="1">{"'gráf jan00'!$A$1:$AK$41"}</definedName>
    <definedName name="trezeagosto7" localSheetId="11" hidden="1">{"'gráf jan00'!$A$1:$AK$41"}</definedName>
    <definedName name="trezeagosto7" localSheetId="5" hidden="1">{"'gráf jan00'!$A$1:$AK$41"}</definedName>
    <definedName name="trezeagosto7" localSheetId="4" hidden="1">{"'gráf jan00'!$A$1:$AK$41"}</definedName>
    <definedName name="trezeagosto7" hidden="1">{"'gráf jan00'!$A$1:$AK$41"}</definedName>
    <definedName name="trezeagosto8" localSheetId="3" hidden="1">{"'gráf jan00'!$A$1:$AK$41"}</definedName>
    <definedName name="trezeagosto8" localSheetId="6" hidden="1">{"'gráf jan00'!$A$1:$AK$41"}</definedName>
    <definedName name="trezeagosto8" localSheetId="7" hidden="1">{"'gráf jan00'!$A$1:$AK$41"}</definedName>
    <definedName name="trezeagosto8" localSheetId="10" hidden="1">{"'gráf jan00'!$A$1:$AK$41"}</definedName>
    <definedName name="trezeagosto8" localSheetId="11" hidden="1">{"'gráf jan00'!$A$1:$AK$41"}</definedName>
    <definedName name="trezeagosto8" localSheetId="5" hidden="1">{"'gráf jan00'!$A$1:$AK$41"}</definedName>
    <definedName name="trezeagosto8" localSheetId="4" hidden="1">{"'gráf jan00'!$A$1:$AK$41"}</definedName>
    <definedName name="trezeagosto8" hidden="1">{"'gráf jan00'!$A$1:$AK$41"}</definedName>
    <definedName name="trezejulho" localSheetId="3" hidden="1">{"'gráf jan00'!$A$1:$AK$41"}</definedName>
    <definedName name="trezejulho" localSheetId="6" hidden="1">{"'gráf jan00'!$A$1:$AK$41"}</definedName>
    <definedName name="trezejulho" localSheetId="7" hidden="1">{"'gráf jan00'!$A$1:$AK$41"}</definedName>
    <definedName name="trezejulho" localSheetId="10" hidden="1">{"'gráf jan00'!$A$1:$AK$41"}</definedName>
    <definedName name="trezejulho" localSheetId="11" hidden="1">{"'gráf jan00'!$A$1:$AK$41"}</definedName>
    <definedName name="trezejulho" localSheetId="5" hidden="1">{"'gráf jan00'!$A$1:$AK$41"}</definedName>
    <definedName name="trezejulho" localSheetId="4" hidden="1">{"'gráf jan00'!$A$1:$AK$41"}</definedName>
    <definedName name="trezejulho" hidden="1">{"'gráf jan00'!$A$1:$AK$41"}</definedName>
    <definedName name="trezejulho2" localSheetId="3" hidden="1">{"'gráf jan00'!$A$1:$AK$41"}</definedName>
    <definedName name="trezejulho2" localSheetId="6" hidden="1">{"'gráf jan00'!$A$1:$AK$41"}</definedName>
    <definedName name="trezejulho2" localSheetId="7" hidden="1">{"'gráf jan00'!$A$1:$AK$41"}</definedName>
    <definedName name="trezejulho2" localSheetId="10" hidden="1">{"'gráf jan00'!$A$1:$AK$41"}</definedName>
    <definedName name="trezejulho2" localSheetId="11" hidden="1">{"'gráf jan00'!$A$1:$AK$41"}</definedName>
    <definedName name="trezejulho2" localSheetId="5" hidden="1">{"'gráf jan00'!$A$1:$AK$41"}</definedName>
    <definedName name="trezejulho2" localSheetId="4" hidden="1">{"'gráf jan00'!$A$1:$AK$41"}</definedName>
    <definedName name="trezejulho2" hidden="1">{"'gráf jan00'!$A$1:$AK$41"}</definedName>
    <definedName name="trezejulho3" localSheetId="3" hidden="1">{"'gráf jan00'!$A$1:$AK$41"}</definedName>
    <definedName name="trezejulho3" localSheetId="6" hidden="1">{"'gráf jan00'!$A$1:$AK$41"}</definedName>
    <definedName name="trezejulho3" localSheetId="7" hidden="1">{"'gráf jan00'!$A$1:$AK$41"}</definedName>
    <definedName name="trezejulho3" localSheetId="10" hidden="1">{"'gráf jan00'!$A$1:$AK$41"}</definedName>
    <definedName name="trezejulho3" localSheetId="11" hidden="1">{"'gráf jan00'!$A$1:$AK$41"}</definedName>
    <definedName name="trezejulho3" localSheetId="5" hidden="1">{"'gráf jan00'!$A$1:$AK$41"}</definedName>
    <definedName name="trezejulho3" localSheetId="4" hidden="1">{"'gráf jan00'!$A$1:$AK$41"}</definedName>
    <definedName name="trezejulho3" hidden="1">{"'gráf jan00'!$A$1:$AK$41"}</definedName>
    <definedName name="trezejun" localSheetId="3" hidden="1">{"'gráf jan00'!$A$1:$AK$41"}</definedName>
    <definedName name="trezejun" localSheetId="6" hidden="1">{"'gráf jan00'!$A$1:$AK$41"}</definedName>
    <definedName name="trezejun" localSheetId="7" hidden="1">{"'gráf jan00'!$A$1:$AK$41"}</definedName>
    <definedName name="trezejun" localSheetId="10" hidden="1">{"'gráf jan00'!$A$1:$AK$41"}</definedName>
    <definedName name="trezejun" localSheetId="11" hidden="1">{"'gráf jan00'!$A$1:$AK$41"}</definedName>
    <definedName name="trezejun" localSheetId="5" hidden="1">{"'gráf jan00'!$A$1:$AK$41"}</definedName>
    <definedName name="trezejun" localSheetId="4" hidden="1">{"'gráf jan00'!$A$1:$AK$41"}</definedName>
    <definedName name="trezejun" hidden="1">{"'gráf jan00'!$A$1:$AK$41"}</definedName>
    <definedName name="trezejunho" localSheetId="3" hidden="1">{"'gráf jan00'!$A$1:$AK$41"}</definedName>
    <definedName name="trezejunho" localSheetId="6" hidden="1">{"'gráf jan00'!$A$1:$AK$41"}</definedName>
    <definedName name="trezejunho" localSheetId="7" hidden="1">{"'gráf jan00'!$A$1:$AK$41"}</definedName>
    <definedName name="trezejunho" localSheetId="10" hidden="1">{"'gráf jan00'!$A$1:$AK$41"}</definedName>
    <definedName name="trezejunho" localSheetId="11" hidden="1">{"'gráf jan00'!$A$1:$AK$41"}</definedName>
    <definedName name="trezejunho" localSheetId="5" hidden="1">{"'gráf jan00'!$A$1:$AK$41"}</definedName>
    <definedName name="trezejunho" localSheetId="4" hidden="1">{"'gráf jan00'!$A$1:$AK$41"}</definedName>
    <definedName name="trezejunho" hidden="1">{"'gráf jan00'!$A$1:$AK$41"}</definedName>
    <definedName name="trezejunnho" localSheetId="3" hidden="1">{"'gráf jan00'!$A$1:$AK$41"}</definedName>
    <definedName name="trezejunnho" localSheetId="6" hidden="1">{"'gráf jan00'!$A$1:$AK$41"}</definedName>
    <definedName name="trezejunnho" localSheetId="7" hidden="1">{"'gráf jan00'!$A$1:$AK$41"}</definedName>
    <definedName name="trezejunnho" localSheetId="10" hidden="1">{"'gráf jan00'!$A$1:$AK$41"}</definedName>
    <definedName name="trezejunnho" localSheetId="11" hidden="1">{"'gráf jan00'!$A$1:$AK$41"}</definedName>
    <definedName name="trezejunnho" localSheetId="5" hidden="1">{"'gráf jan00'!$A$1:$AK$41"}</definedName>
    <definedName name="trezejunnho" localSheetId="4" hidden="1">{"'gráf jan00'!$A$1:$AK$41"}</definedName>
    <definedName name="trezejunnho" hidden="1">{"'gráf jan00'!$A$1:$AK$41"}</definedName>
    <definedName name="trezemarço" localSheetId="3" hidden="1">{"'gráf jan00'!$A$1:$AK$41"}</definedName>
    <definedName name="trezemarço" localSheetId="6" hidden="1">{"'gráf jan00'!$A$1:$AK$41"}</definedName>
    <definedName name="trezemarço" localSheetId="7" hidden="1">{"'gráf jan00'!$A$1:$AK$41"}</definedName>
    <definedName name="trezemarço" localSheetId="10" hidden="1">{"'gráf jan00'!$A$1:$AK$41"}</definedName>
    <definedName name="trezemarço" localSheetId="11" hidden="1">{"'gráf jan00'!$A$1:$AK$41"}</definedName>
    <definedName name="trezemarço" localSheetId="5" hidden="1">{"'gráf jan00'!$A$1:$AK$41"}</definedName>
    <definedName name="trezemarço" localSheetId="4" hidden="1">{"'gráf jan00'!$A$1:$AK$41"}</definedName>
    <definedName name="trezemarço" hidden="1">{"'gráf jan00'!$A$1:$AK$41"}</definedName>
    <definedName name="TRP">#REF!</definedName>
    <definedName name="trt" localSheetId="3" hidden="1">{"'gráf jan00'!$A$1:$AK$41"}</definedName>
    <definedName name="trt" localSheetId="6" hidden="1">{"'gráf jan00'!$A$1:$AK$41"}</definedName>
    <definedName name="trt" localSheetId="7" hidden="1">{"'gráf jan00'!$A$1:$AK$41"}</definedName>
    <definedName name="trt" localSheetId="10" hidden="1">{"'gráf jan00'!$A$1:$AK$41"}</definedName>
    <definedName name="trt" localSheetId="11" hidden="1">{"'gráf jan00'!$A$1:$AK$41"}</definedName>
    <definedName name="trt" localSheetId="5" hidden="1">{"'gráf jan00'!$A$1:$AK$41"}</definedName>
    <definedName name="trt" localSheetId="4" hidden="1">{"'gráf jan00'!$A$1:$AK$41"}</definedName>
    <definedName name="trt" hidden="1">{"'gráf jan00'!$A$1:$AK$41"}</definedName>
    <definedName name="TRYU" localSheetId="3" hidden="1">{"'Quadro'!$A$4:$BG$78"}</definedName>
    <definedName name="TRYU" localSheetId="6" hidden="1">{"'Quadro'!$A$4:$BG$78"}</definedName>
    <definedName name="TRYU" localSheetId="7" hidden="1">{"'Quadro'!$A$4:$BG$78"}</definedName>
    <definedName name="TRYU" localSheetId="10" hidden="1">{"'Quadro'!$A$4:$BG$78"}</definedName>
    <definedName name="TRYU" localSheetId="11" hidden="1">{"'Quadro'!$A$4:$BG$78"}</definedName>
    <definedName name="TRYU" localSheetId="5" hidden="1">{"'Quadro'!$A$4:$BG$78"}</definedName>
    <definedName name="TRYU" localSheetId="4" hidden="1">{"'Quadro'!$A$4:$BG$78"}</definedName>
    <definedName name="TRYU" hidden="1">{"'Quadro'!$A$4:$BG$78"}</definedName>
    <definedName name="TTER" localSheetId="3" hidden="1">{"'Quadro'!$A$4:$BG$78"}</definedName>
    <definedName name="TTER" localSheetId="6" hidden="1">{"'Quadro'!$A$4:$BG$78"}</definedName>
    <definedName name="TTER" localSheetId="7" hidden="1">{"'Quadro'!$A$4:$BG$78"}</definedName>
    <definedName name="TTER" localSheetId="10" hidden="1">{"'Quadro'!$A$4:$BG$78"}</definedName>
    <definedName name="TTER" localSheetId="11" hidden="1">{"'Quadro'!$A$4:$BG$78"}</definedName>
    <definedName name="TTER" localSheetId="5" hidden="1">{"'Quadro'!$A$4:$BG$78"}</definedName>
    <definedName name="TTER" localSheetId="4" hidden="1">{"'Quadro'!$A$4:$BG$78"}</definedName>
    <definedName name="TTER" hidden="1">{"'Quadro'!$A$4:$BG$78"}</definedName>
    <definedName name="TTT" localSheetId="3" hidden="1">{"'gráf jan00'!$A$1:$AK$41"}</definedName>
    <definedName name="TTT" localSheetId="6" hidden="1">{"'gráf jan00'!$A$1:$AK$41"}</definedName>
    <definedName name="TTT" localSheetId="7" hidden="1">{"'gráf jan00'!$A$1:$AK$41"}</definedName>
    <definedName name="TTT" localSheetId="10" hidden="1">{"'gráf jan00'!$A$1:$AK$41"}</definedName>
    <definedName name="TTT" localSheetId="11" hidden="1">{"'gráf jan00'!$A$1:$AK$41"}</definedName>
    <definedName name="TTT" localSheetId="5" hidden="1">{"'gráf jan00'!$A$1:$AK$41"}</definedName>
    <definedName name="TTT" localSheetId="4" hidden="1">{"'gráf jan00'!$A$1:$AK$41"}</definedName>
    <definedName name="TTT" hidden="1">{"'gráf jan00'!$A$1:$AK$41"}</definedName>
    <definedName name="TTTT" localSheetId="3" hidden="1">{"'gráf jan00'!$A$1:$AK$41"}</definedName>
    <definedName name="TTTT" localSheetId="6" hidden="1">{"'gráf jan00'!$A$1:$AK$41"}</definedName>
    <definedName name="TTTT" localSheetId="7" hidden="1">{"'gráf jan00'!$A$1:$AK$41"}</definedName>
    <definedName name="TTTT" localSheetId="10" hidden="1">{"'gráf jan00'!$A$1:$AK$41"}</definedName>
    <definedName name="TTTT" localSheetId="11" hidden="1">{"'gráf jan00'!$A$1:$AK$41"}</definedName>
    <definedName name="TTTT" localSheetId="5" hidden="1">{"'gráf jan00'!$A$1:$AK$41"}</definedName>
    <definedName name="TTTT" localSheetId="4" hidden="1">{"'gráf jan00'!$A$1:$AK$41"}</definedName>
    <definedName name="TTTT" hidden="1">{"'gráf jan00'!$A$1:$AK$41"}</definedName>
    <definedName name="tudo">#REF!</definedName>
    <definedName name="TX_MOB_DESM">3.56%</definedName>
    <definedName name="tyjtykj" localSheetId="3"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tyjtykj" localSheetId="6"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tyjtykj" localSheetId="7"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tyjtykj" localSheetId="10"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tyjtykj" localSheetId="11"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tyjtykj" localSheetId="5"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tyjtykj" localSheetId="4"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tyjtykj"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TYU" localSheetId="3" hidden="1">{"'Quadro'!$A$4:$BG$78"}</definedName>
    <definedName name="TYU" localSheetId="6" hidden="1">{"'Quadro'!$A$4:$BG$78"}</definedName>
    <definedName name="TYU" localSheetId="7" hidden="1">{"'Quadro'!$A$4:$BG$78"}</definedName>
    <definedName name="TYU" localSheetId="10" hidden="1">{"'Quadro'!$A$4:$BG$78"}</definedName>
    <definedName name="TYU" localSheetId="11" hidden="1">{"'Quadro'!$A$4:$BG$78"}</definedName>
    <definedName name="TYU" localSheetId="5" hidden="1">{"'Quadro'!$A$4:$BG$78"}</definedName>
    <definedName name="TYU" localSheetId="4" hidden="1">{"'Quadro'!$A$4:$BG$78"}</definedName>
    <definedName name="TYU" hidden="1">{"'Quadro'!$A$4:$BG$78"}</definedName>
    <definedName name="U" localSheetId="3" hidden="1">{"'gráf jan00'!$A$1:$AK$41"}</definedName>
    <definedName name="U" localSheetId="6" hidden="1">{"'gráf jan00'!$A$1:$AK$41"}</definedName>
    <definedName name="U" localSheetId="7" hidden="1">{"'gráf jan00'!$A$1:$AK$41"}</definedName>
    <definedName name="U" localSheetId="10" hidden="1">{"'gráf jan00'!$A$1:$AK$41"}</definedName>
    <definedName name="U" localSheetId="11" hidden="1">{"'gráf jan00'!$A$1:$AK$41"}</definedName>
    <definedName name="U" localSheetId="5" hidden="1">{"'gráf jan00'!$A$1:$AK$41"}</definedName>
    <definedName name="U" localSheetId="4" hidden="1">{"'gráf jan00'!$A$1:$AK$41"}</definedName>
    <definedName name="U" hidden="1">{"'gráf jan00'!$A$1:$AK$41"}</definedName>
    <definedName name="UBB_UTEJF" localSheetId="3" hidden="1">{#N/A,#N/A,FALSE,"ANEXO3 99 ERA";#N/A,#N/A,FALSE,"ANEXO3 99 UBÁ2";#N/A,#N/A,FALSE,"ANEXO3 99 DTU";#N/A,#N/A,FALSE,"ANEXO3 99 RDR";#N/A,#N/A,FALSE,"ANEXO3 99 UBÁ4";#N/A,#N/A,FALSE,"ANEXO3 99 UBÁ6"}</definedName>
    <definedName name="UBB_UTEJF" localSheetId="6" hidden="1">{#N/A,#N/A,FALSE,"ANEXO3 99 ERA";#N/A,#N/A,FALSE,"ANEXO3 99 UBÁ2";#N/A,#N/A,FALSE,"ANEXO3 99 DTU";#N/A,#N/A,FALSE,"ANEXO3 99 RDR";#N/A,#N/A,FALSE,"ANEXO3 99 UBÁ4";#N/A,#N/A,FALSE,"ANEXO3 99 UBÁ6"}</definedName>
    <definedName name="UBB_UTEJF" localSheetId="7" hidden="1">{#N/A,#N/A,FALSE,"ANEXO3 99 ERA";#N/A,#N/A,FALSE,"ANEXO3 99 UBÁ2";#N/A,#N/A,FALSE,"ANEXO3 99 DTU";#N/A,#N/A,FALSE,"ANEXO3 99 RDR";#N/A,#N/A,FALSE,"ANEXO3 99 UBÁ4";#N/A,#N/A,FALSE,"ANEXO3 99 UBÁ6"}</definedName>
    <definedName name="UBB_UTEJF" localSheetId="10" hidden="1">{#N/A,#N/A,FALSE,"ANEXO3 99 ERA";#N/A,#N/A,FALSE,"ANEXO3 99 UBÁ2";#N/A,#N/A,FALSE,"ANEXO3 99 DTU";#N/A,#N/A,FALSE,"ANEXO3 99 RDR";#N/A,#N/A,FALSE,"ANEXO3 99 UBÁ4";#N/A,#N/A,FALSE,"ANEXO3 99 UBÁ6"}</definedName>
    <definedName name="UBB_UTEJF" localSheetId="11" hidden="1">{#N/A,#N/A,FALSE,"ANEXO3 99 ERA";#N/A,#N/A,FALSE,"ANEXO3 99 UBÁ2";#N/A,#N/A,FALSE,"ANEXO3 99 DTU";#N/A,#N/A,FALSE,"ANEXO3 99 RDR";#N/A,#N/A,FALSE,"ANEXO3 99 UBÁ4";#N/A,#N/A,FALSE,"ANEXO3 99 UBÁ6"}</definedName>
    <definedName name="UBB_UTEJF" localSheetId="5" hidden="1">{#N/A,#N/A,FALSE,"ANEXO3 99 ERA";#N/A,#N/A,FALSE,"ANEXO3 99 UBÁ2";#N/A,#N/A,FALSE,"ANEXO3 99 DTU";#N/A,#N/A,FALSE,"ANEXO3 99 RDR";#N/A,#N/A,FALSE,"ANEXO3 99 UBÁ4";#N/A,#N/A,FALSE,"ANEXO3 99 UBÁ6"}</definedName>
    <definedName name="UBB_UTEJF" localSheetId="4" hidden="1">{#N/A,#N/A,FALSE,"ANEXO3 99 ERA";#N/A,#N/A,FALSE,"ANEXO3 99 UBÁ2";#N/A,#N/A,FALSE,"ANEXO3 99 DTU";#N/A,#N/A,FALSE,"ANEXO3 99 RDR";#N/A,#N/A,FALSE,"ANEXO3 99 UBÁ4";#N/A,#N/A,FALSE,"ANEXO3 99 UBÁ6"}</definedName>
    <definedName name="UBB_UTEJF" hidden="1">{#N/A,#N/A,FALSE,"ANEXO3 99 ERA";#N/A,#N/A,FALSE,"ANEXO3 99 UBÁ2";#N/A,#N/A,FALSE,"ANEXO3 99 DTU";#N/A,#N/A,FALSE,"ANEXO3 99 RDR";#N/A,#N/A,FALSE,"ANEXO3 99 UBÁ4";#N/A,#N/A,FALSE,"ANEXO3 99 UBÁ6"}</definedName>
    <definedName name="uoluyk" localSheetId="3" hidden="1">{#N/A,#N/A,TRUE,"indice";#N/A,#N/A,TRUE,"indicadores";#N/A,#N/A,TRUE,"comentarios"}</definedName>
    <definedName name="uoluyk" localSheetId="6" hidden="1">{#N/A,#N/A,TRUE,"indice";#N/A,#N/A,TRUE,"indicadores";#N/A,#N/A,TRUE,"comentarios"}</definedName>
    <definedName name="uoluyk" localSheetId="7" hidden="1">{#N/A,#N/A,TRUE,"indice";#N/A,#N/A,TRUE,"indicadores";#N/A,#N/A,TRUE,"comentarios"}</definedName>
    <definedName name="uoluyk" localSheetId="10" hidden="1">{#N/A,#N/A,TRUE,"indice";#N/A,#N/A,TRUE,"indicadores";#N/A,#N/A,TRUE,"comentarios"}</definedName>
    <definedName name="uoluyk" localSheetId="11" hidden="1">{#N/A,#N/A,TRUE,"indice";#N/A,#N/A,TRUE,"indicadores";#N/A,#N/A,TRUE,"comentarios"}</definedName>
    <definedName name="uoluyk" localSheetId="5" hidden="1">{#N/A,#N/A,TRUE,"indice";#N/A,#N/A,TRUE,"indicadores";#N/A,#N/A,TRUE,"comentarios"}</definedName>
    <definedName name="uoluyk" localSheetId="4" hidden="1">{#N/A,#N/A,TRUE,"indice";#N/A,#N/A,TRUE,"indicadores";#N/A,#N/A,TRUE,"comentarios"}</definedName>
    <definedName name="uoluyk" hidden="1">{#N/A,#N/A,TRUE,"indice";#N/A,#N/A,TRUE,"indicadores";#N/A,#N/A,TRUE,"comentarios"}</definedName>
    <definedName name="uu" localSheetId="3" hidden="1">{"'REL CUSTODIF'!$B$1:$H$72"}</definedName>
    <definedName name="uu" localSheetId="6" hidden="1">{"'REL CUSTODIF'!$B$1:$H$72"}</definedName>
    <definedName name="uu" localSheetId="7" hidden="1">{"'REL CUSTODIF'!$B$1:$H$72"}</definedName>
    <definedName name="uu" localSheetId="10" hidden="1">{"'REL CUSTODIF'!$B$1:$H$72"}</definedName>
    <definedName name="uu" localSheetId="11" hidden="1">{"'REL CUSTODIF'!$B$1:$H$72"}</definedName>
    <definedName name="uu" localSheetId="5" hidden="1">{"'REL CUSTODIF'!$B$1:$H$72"}</definedName>
    <definedName name="uu" localSheetId="4" hidden="1">{"'REL CUSTODIF'!$B$1:$H$72"}</definedName>
    <definedName name="uu" hidden="1">{"'REL CUSTODIF'!$B$1:$H$72"}</definedName>
    <definedName name="UUUUUUU" localSheetId="3" hidden="1">{#N/A,#N/A,FALSE,"GERAL";#N/A,#N/A,FALSE,"012-96";#N/A,#N/A,FALSE,"018-96";#N/A,#N/A,FALSE,"027-96";#N/A,#N/A,FALSE,"059-96";#N/A,#N/A,FALSE,"076-96";#N/A,#N/A,FALSE,"019-97";#N/A,#N/A,FALSE,"021-97";#N/A,#N/A,FALSE,"022-97";#N/A,#N/A,FALSE,"028-97"}</definedName>
    <definedName name="UUUUUUU" localSheetId="6" hidden="1">{#N/A,#N/A,FALSE,"GERAL";#N/A,#N/A,FALSE,"012-96";#N/A,#N/A,FALSE,"018-96";#N/A,#N/A,FALSE,"027-96";#N/A,#N/A,FALSE,"059-96";#N/A,#N/A,FALSE,"076-96";#N/A,#N/A,FALSE,"019-97";#N/A,#N/A,FALSE,"021-97";#N/A,#N/A,FALSE,"022-97";#N/A,#N/A,FALSE,"028-97"}</definedName>
    <definedName name="UUUUUUU" localSheetId="7" hidden="1">{#N/A,#N/A,FALSE,"GERAL";#N/A,#N/A,FALSE,"012-96";#N/A,#N/A,FALSE,"018-96";#N/A,#N/A,FALSE,"027-96";#N/A,#N/A,FALSE,"059-96";#N/A,#N/A,FALSE,"076-96";#N/A,#N/A,FALSE,"019-97";#N/A,#N/A,FALSE,"021-97";#N/A,#N/A,FALSE,"022-97";#N/A,#N/A,FALSE,"028-97"}</definedName>
    <definedName name="UUUUUUU" localSheetId="10" hidden="1">{#N/A,#N/A,FALSE,"GERAL";#N/A,#N/A,FALSE,"012-96";#N/A,#N/A,FALSE,"018-96";#N/A,#N/A,FALSE,"027-96";#N/A,#N/A,FALSE,"059-96";#N/A,#N/A,FALSE,"076-96";#N/A,#N/A,FALSE,"019-97";#N/A,#N/A,FALSE,"021-97";#N/A,#N/A,FALSE,"022-97";#N/A,#N/A,FALSE,"028-97"}</definedName>
    <definedName name="UUUUUUU" localSheetId="11" hidden="1">{#N/A,#N/A,FALSE,"GERAL";#N/A,#N/A,FALSE,"012-96";#N/A,#N/A,FALSE,"018-96";#N/A,#N/A,FALSE,"027-96";#N/A,#N/A,FALSE,"059-96";#N/A,#N/A,FALSE,"076-96";#N/A,#N/A,FALSE,"019-97";#N/A,#N/A,FALSE,"021-97";#N/A,#N/A,FALSE,"022-97";#N/A,#N/A,FALSE,"028-97"}</definedName>
    <definedName name="UUUUUUU" localSheetId="5" hidden="1">{#N/A,#N/A,FALSE,"GERAL";#N/A,#N/A,FALSE,"012-96";#N/A,#N/A,FALSE,"018-96";#N/A,#N/A,FALSE,"027-96";#N/A,#N/A,FALSE,"059-96";#N/A,#N/A,FALSE,"076-96";#N/A,#N/A,FALSE,"019-97";#N/A,#N/A,FALSE,"021-97";#N/A,#N/A,FALSE,"022-97";#N/A,#N/A,FALSE,"028-97"}</definedName>
    <definedName name="UUUUUUU" localSheetId="4" hidden="1">{#N/A,#N/A,FALSE,"GERAL";#N/A,#N/A,FALSE,"012-96";#N/A,#N/A,FALSE,"018-96";#N/A,#N/A,FALSE,"027-96";#N/A,#N/A,FALSE,"059-96";#N/A,#N/A,FALSE,"076-96";#N/A,#N/A,FALSE,"019-97";#N/A,#N/A,FALSE,"021-97";#N/A,#N/A,FALSE,"022-97";#N/A,#N/A,FALSE,"028-97"}</definedName>
    <definedName name="UUUUUUU" hidden="1">{#N/A,#N/A,FALSE,"GERAL";#N/A,#N/A,FALSE,"012-96";#N/A,#N/A,FALSE,"018-96";#N/A,#N/A,FALSE,"027-96";#N/A,#N/A,FALSE,"059-96";#N/A,#N/A,FALSE,"076-96";#N/A,#N/A,FALSE,"019-97";#N/A,#N/A,FALSE,"021-97";#N/A,#N/A,FALSE,"022-97";#N/A,#N/A,FALSE,"028-97"}</definedName>
    <definedName name="uyt" localSheetId="3" hidden="1">#REF!</definedName>
    <definedName name="uyt" localSheetId="6" hidden="1">#REF!</definedName>
    <definedName name="uyt" localSheetId="7" hidden="1">#REF!</definedName>
    <definedName name="uyt" localSheetId="10" hidden="1">#REF!</definedName>
    <definedName name="uyt" localSheetId="11" hidden="1">#REF!</definedName>
    <definedName name="uyt" hidden="1">#REF!</definedName>
    <definedName name="VEIC" localSheetId="3">#REF!</definedName>
    <definedName name="VEIC" localSheetId="6">#REF!</definedName>
    <definedName name="VEIC" localSheetId="7">#REF!</definedName>
    <definedName name="VEIC" localSheetId="10">#REF!</definedName>
    <definedName name="VEIC">#REF!</definedName>
    <definedName name="VEIC2" localSheetId="3">#REF!</definedName>
    <definedName name="VEIC2" localSheetId="7">#REF!</definedName>
    <definedName name="VEIC2" localSheetId="10">#REF!</definedName>
    <definedName name="VEIC2">#REF!</definedName>
    <definedName name="veiculo" localSheetId="3" hidden="1">{"VENTAS1",#N/A,FALSE,"VENTAS";"VENTAS2",#N/A,FALSE,"VENTAS";"VENTAS3",#N/A,FALSE,"VENTAS";"VENTAS4",#N/A,FALSE,"VENTAS";"VENTAS5",#N/A,FALSE,"VENTAS";"VENTAS6",#N/A,FALSE,"VENTAS";"VENTAS7",#N/A,FALSE,"VENTAS";"VENTAS8",#N/A,FALSE,"VENTAS"}</definedName>
    <definedName name="veiculo" localSheetId="6" hidden="1">{"VENTAS1",#N/A,FALSE,"VENTAS";"VENTAS2",#N/A,FALSE,"VENTAS";"VENTAS3",#N/A,FALSE,"VENTAS";"VENTAS4",#N/A,FALSE,"VENTAS";"VENTAS5",#N/A,FALSE,"VENTAS";"VENTAS6",#N/A,FALSE,"VENTAS";"VENTAS7",#N/A,FALSE,"VENTAS";"VENTAS8",#N/A,FALSE,"VENTAS"}</definedName>
    <definedName name="veiculo" localSheetId="7" hidden="1">{"VENTAS1",#N/A,FALSE,"VENTAS";"VENTAS2",#N/A,FALSE,"VENTAS";"VENTAS3",#N/A,FALSE,"VENTAS";"VENTAS4",#N/A,FALSE,"VENTAS";"VENTAS5",#N/A,FALSE,"VENTAS";"VENTAS6",#N/A,FALSE,"VENTAS";"VENTAS7",#N/A,FALSE,"VENTAS";"VENTAS8",#N/A,FALSE,"VENTAS"}</definedName>
    <definedName name="veiculo" localSheetId="10" hidden="1">{"VENTAS1",#N/A,FALSE,"VENTAS";"VENTAS2",#N/A,FALSE,"VENTAS";"VENTAS3",#N/A,FALSE,"VENTAS";"VENTAS4",#N/A,FALSE,"VENTAS";"VENTAS5",#N/A,FALSE,"VENTAS";"VENTAS6",#N/A,FALSE,"VENTAS";"VENTAS7",#N/A,FALSE,"VENTAS";"VENTAS8",#N/A,FALSE,"VENTAS"}</definedName>
    <definedName name="veiculo" localSheetId="11" hidden="1">{"VENTAS1",#N/A,FALSE,"VENTAS";"VENTAS2",#N/A,FALSE,"VENTAS";"VENTAS3",#N/A,FALSE,"VENTAS";"VENTAS4",#N/A,FALSE,"VENTAS";"VENTAS5",#N/A,FALSE,"VENTAS";"VENTAS6",#N/A,FALSE,"VENTAS";"VENTAS7",#N/A,FALSE,"VENTAS";"VENTAS8",#N/A,FALSE,"VENTAS"}</definedName>
    <definedName name="veiculo" localSheetId="5" hidden="1">{"VENTAS1",#N/A,FALSE,"VENTAS";"VENTAS2",#N/A,FALSE,"VENTAS";"VENTAS3",#N/A,FALSE,"VENTAS";"VENTAS4",#N/A,FALSE,"VENTAS";"VENTAS5",#N/A,FALSE,"VENTAS";"VENTAS6",#N/A,FALSE,"VENTAS";"VENTAS7",#N/A,FALSE,"VENTAS";"VENTAS8",#N/A,FALSE,"VENTAS"}</definedName>
    <definedName name="veiculo" localSheetId="4" hidden="1">{"VENTAS1",#N/A,FALSE,"VENTAS";"VENTAS2",#N/A,FALSE,"VENTAS";"VENTAS3",#N/A,FALSE,"VENTAS";"VENTAS4",#N/A,FALSE,"VENTAS";"VENTAS5",#N/A,FALSE,"VENTAS";"VENTAS6",#N/A,FALSE,"VENTAS";"VENTAS7",#N/A,FALSE,"VENTAS";"VENTAS8",#N/A,FALSE,"VENTAS"}</definedName>
    <definedName name="veiculo" hidden="1">{"VENTAS1",#N/A,FALSE,"VENTAS";"VENTAS2",#N/A,FALSE,"VENTAS";"VENTAS3",#N/A,FALSE,"VENTAS";"VENTAS4",#N/A,FALSE,"VENTAS";"VENTAS5",#N/A,FALSE,"VENTAS";"VENTAS6",#N/A,FALSE,"VENTAS";"VENTAS7",#N/A,FALSE,"VENTAS";"VENTAS8",#N/A,FALSE,"VENTAS"}</definedName>
    <definedName name="VIDROS">#N/A</definedName>
    <definedName name="vp" localSheetId="3" hidden="1">{"'Quadro'!$A$4:$BG$78"}</definedName>
    <definedName name="vp" localSheetId="6" hidden="1">{"'Quadro'!$A$4:$BG$78"}</definedName>
    <definedName name="vp" localSheetId="7" hidden="1">{"'Quadro'!$A$4:$BG$78"}</definedName>
    <definedName name="vp" localSheetId="10" hidden="1">{"'Quadro'!$A$4:$BG$78"}</definedName>
    <definedName name="vp" localSheetId="11" hidden="1">{"'Quadro'!$A$4:$BG$78"}</definedName>
    <definedName name="vp" localSheetId="5" hidden="1">{"'Quadro'!$A$4:$BG$78"}</definedName>
    <definedName name="vp" localSheetId="4" hidden="1">{"'Quadro'!$A$4:$BG$78"}</definedName>
    <definedName name="vp" hidden="1">{"'Quadro'!$A$4:$BG$78"}</definedName>
    <definedName name="vvvvv" localSheetId="3"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vvvvv" localSheetId="6"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vvvvv" localSheetId="7"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vvvvv" localSheetId="10"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vvvvv" localSheetId="11"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vvvvv" localSheetId="5"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vvvvv" localSheetId="4"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vvvvv"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vxs" localSheetId="3" hidden="1">{"'RR'!$A$2:$E$81"}</definedName>
    <definedName name="vxs" localSheetId="6" hidden="1">{"'RR'!$A$2:$E$81"}</definedName>
    <definedName name="vxs" localSheetId="7" hidden="1">{"'RR'!$A$2:$E$81"}</definedName>
    <definedName name="vxs" localSheetId="10" hidden="1">{"'RR'!$A$2:$E$81"}</definedName>
    <definedName name="vxs" localSheetId="11" hidden="1">{"'RR'!$A$2:$E$81"}</definedName>
    <definedName name="vxs" localSheetId="5" hidden="1">{"'RR'!$A$2:$E$81"}</definedName>
    <definedName name="vxs" localSheetId="4" hidden="1">{"'RR'!$A$2:$E$81"}</definedName>
    <definedName name="vxs" hidden="1">{"'RR'!$A$2:$E$81"}</definedName>
    <definedName name="w" localSheetId="15">#REF!</definedName>
    <definedName name="w">#REF!</definedName>
    <definedName name="wadfaw" localSheetId="3" hidden="1">{#N/A,#N/A,TRUE,"indice";#N/A,#N/A,TRUE,"indicadores";#N/A,#N/A,TRUE,"comentarios"}</definedName>
    <definedName name="wadfaw" localSheetId="6" hidden="1">{#N/A,#N/A,TRUE,"indice";#N/A,#N/A,TRUE,"indicadores";#N/A,#N/A,TRUE,"comentarios"}</definedName>
    <definedName name="wadfaw" localSheetId="7" hidden="1">{#N/A,#N/A,TRUE,"indice";#N/A,#N/A,TRUE,"indicadores";#N/A,#N/A,TRUE,"comentarios"}</definedName>
    <definedName name="wadfaw" localSheetId="10" hidden="1">{#N/A,#N/A,TRUE,"indice";#N/A,#N/A,TRUE,"indicadores";#N/A,#N/A,TRUE,"comentarios"}</definedName>
    <definedName name="wadfaw" localSheetId="11" hidden="1">{#N/A,#N/A,TRUE,"indice";#N/A,#N/A,TRUE,"indicadores";#N/A,#N/A,TRUE,"comentarios"}</definedName>
    <definedName name="wadfaw" localSheetId="5" hidden="1">{#N/A,#N/A,TRUE,"indice";#N/A,#N/A,TRUE,"indicadores";#N/A,#N/A,TRUE,"comentarios"}</definedName>
    <definedName name="wadfaw" localSheetId="4" hidden="1">{#N/A,#N/A,TRUE,"indice";#N/A,#N/A,TRUE,"indicadores";#N/A,#N/A,TRUE,"comentarios"}</definedName>
    <definedName name="wadfaw" hidden="1">{#N/A,#N/A,TRUE,"indice";#N/A,#N/A,TRUE,"indicadores";#N/A,#N/A,TRUE,"comentarios"}</definedName>
    <definedName name="wdewdwd" localSheetId="3" hidden="1">{#N/A,#N/A,FALSE,"PCOL"}</definedName>
    <definedName name="wdewdwd" localSheetId="6" hidden="1">{#N/A,#N/A,FALSE,"PCOL"}</definedName>
    <definedName name="wdewdwd" localSheetId="7" hidden="1">{#N/A,#N/A,FALSE,"PCOL"}</definedName>
    <definedName name="wdewdwd" localSheetId="10" hidden="1">{#N/A,#N/A,FALSE,"PCOL"}</definedName>
    <definedName name="wdewdwd" localSheetId="11" hidden="1">{#N/A,#N/A,FALSE,"PCOL"}</definedName>
    <definedName name="wdewdwd" localSheetId="5" hidden="1">{#N/A,#N/A,FALSE,"PCOL"}</definedName>
    <definedName name="wdewdwd" localSheetId="4" hidden="1">{#N/A,#N/A,FALSE,"PCOL"}</definedName>
    <definedName name="wdewdwd" hidden="1">{#N/A,#N/A,FALSE,"PCOL"}</definedName>
    <definedName name="wdwd" localSheetId="3" hidden="1">{#N/A,#N/A,FALSE,"PCOL"}</definedName>
    <definedName name="wdwd" localSheetId="6" hidden="1">{#N/A,#N/A,FALSE,"PCOL"}</definedName>
    <definedName name="wdwd" localSheetId="7" hidden="1">{#N/A,#N/A,FALSE,"PCOL"}</definedName>
    <definedName name="wdwd" localSheetId="10" hidden="1">{#N/A,#N/A,FALSE,"PCOL"}</definedName>
    <definedName name="wdwd" localSheetId="11" hidden="1">{#N/A,#N/A,FALSE,"PCOL"}</definedName>
    <definedName name="wdwd" localSheetId="5" hidden="1">{#N/A,#N/A,FALSE,"PCOL"}</definedName>
    <definedName name="wdwd" localSheetId="4" hidden="1">{#N/A,#N/A,FALSE,"PCOL"}</definedName>
    <definedName name="wdwd" hidden="1">{#N/A,#N/A,FALSE,"PCOL"}</definedName>
    <definedName name="wedwedw" localSheetId="3" hidden="1">{#N/A,#N/A,FALSE,"PCOL"}</definedName>
    <definedName name="wedwedw" localSheetId="6" hidden="1">{#N/A,#N/A,FALSE,"PCOL"}</definedName>
    <definedName name="wedwedw" localSheetId="7" hidden="1">{#N/A,#N/A,FALSE,"PCOL"}</definedName>
    <definedName name="wedwedw" localSheetId="10" hidden="1">{#N/A,#N/A,FALSE,"PCOL"}</definedName>
    <definedName name="wedwedw" localSheetId="11" hidden="1">{#N/A,#N/A,FALSE,"PCOL"}</definedName>
    <definedName name="wedwedw" localSheetId="5" hidden="1">{#N/A,#N/A,FALSE,"PCOL"}</definedName>
    <definedName name="wedwedw" localSheetId="4" hidden="1">{#N/A,#N/A,FALSE,"PCOL"}</definedName>
    <definedName name="wedwedw" hidden="1">{#N/A,#N/A,FALSE,"PCOL"}</definedName>
    <definedName name="wedwew" localSheetId="3" hidden="1">{#N/A,#N/A,FALSE,"PCOL"}</definedName>
    <definedName name="wedwew" localSheetId="6" hidden="1">{#N/A,#N/A,FALSE,"PCOL"}</definedName>
    <definedName name="wedwew" localSheetId="7" hidden="1">{#N/A,#N/A,FALSE,"PCOL"}</definedName>
    <definedName name="wedwew" localSheetId="10" hidden="1">{#N/A,#N/A,FALSE,"PCOL"}</definedName>
    <definedName name="wedwew" localSheetId="11" hidden="1">{#N/A,#N/A,FALSE,"PCOL"}</definedName>
    <definedName name="wedwew" localSheetId="5" hidden="1">{#N/A,#N/A,FALSE,"PCOL"}</definedName>
    <definedName name="wedwew" localSheetId="4" hidden="1">{#N/A,#N/A,FALSE,"PCOL"}</definedName>
    <definedName name="wedwew" hidden="1">{#N/A,#N/A,FALSE,"PCOL"}</definedName>
    <definedName name="wer" localSheetId="3"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wer" localSheetId="6"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wer" localSheetId="7"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wer" localSheetId="10"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wer" localSheetId="11"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wer" localSheetId="5"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wer" localSheetId="4"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wer"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wewe" localSheetId="3" hidden="1">{#N/A,#N/A,FALSE,"PCOL"}</definedName>
    <definedName name="wewe" localSheetId="6" hidden="1">{#N/A,#N/A,FALSE,"PCOL"}</definedName>
    <definedName name="wewe" localSheetId="7" hidden="1">{#N/A,#N/A,FALSE,"PCOL"}</definedName>
    <definedName name="wewe" localSheetId="10" hidden="1">{#N/A,#N/A,FALSE,"PCOL"}</definedName>
    <definedName name="wewe" localSheetId="11" hidden="1">{#N/A,#N/A,FALSE,"PCOL"}</definedName>
    <definedName name="wewe" localSheetId="5" hidden="1">{#N/A,#N/A,FALSE,"PCOL"}</definedName>
    <definedName name="wewe" localSheetId="4" hidden="1">{#N/A,#N/A,FALSE,"PCOL"}</definedName>
    <definedName name="wewe" hidden="1">{#N/A,#N/A,FALSE,"PCOL"}</definedName>
    <definedName name="wewedwedw" localSheetId="3" hidden="1">{#N/A,#N/A,FALSE,"PCOL"}</definedName>
    <definedName name="wewedwedw" localSheetId="6" hidden="1">{#N/A,#N/A,FALSE,"PCOL"}</definedName>
    <definedName name="wewedwedw" localSheetId="7" hidden="1">{#N/A,#N/A,FALSE,"PCOL"}</definedName>
    <definedName name="wewedwedw" localSheetId="10" hidden="1">{#N/A,#N/A,FALSE,"PCOL"}</definedName>
    <definedName name="wewedwedw" localSheetId="11" hidden="1">{#N/A,#N/A,FALSE,"PCOL"}</definedName>
    <definedName name="wewedwedw" localSheetId="5" hidden="1">{#N/A,#N/A,FALSE,"PCOL"}</definedName>
    <definedName name="wewedwedw" localSheetId="4" hidden="1">{#N/A,#N/A,FALSE,"PCOL"}</definedName>
    <definedName name="wewedwedw" hidden="1">{#N/A,#N/A,FALSE,"PCOL"}</definedName>
    <definedName name="wewew" localSheetId="3" hidden="1">{#N/A,#N/A,FALSE,"PCOL"}</definedName>
    <definedName name="wewew" localSheetId="6" hidden="1">{#N/A,#N/A,FALSE,"PCOL"}</definedName>
    <definedName name="wewew" localSheetId="7" hidden="1">{#N/A,#N/A,FALSE,"PCOL"}</definedName>
    <definedName name="wewew" localSheetId="10" hidden="1">{#N/A,#N/A,FALSE,"PCOL"}</definedName>
    <definedName name="wewew" localSheetId="11" hidden="1">{#N/A,#N/A,FALSE,"PCOL"}</definedName>
    <definedName name="wewew" localSheetId="5" hidden="1">{#N/A,#N/A,FALSE,"PCOL"}</definedName>
    <definedName name="wewew" localSheetId="4" hidden="1">{#N/A,#N/A,FALSE,"PCOL"}</definedName>
    <definedName name="wewew" hidden="1">{#N/A,#N/A,FALSE,"PCOL"}</definedName>
    <definedName name="WN" localSheetId="3" hidden="1">{#N/A,#N/A,FALSE,"31 - Balanço";#N/A,#N/A,FALSE,"41 - Resultado";#N/A,#N/A,FALSE,"51 - Fluxo de Caixa"}</definedName>
    <definedName name="WN" localSheetId="6" hidden="1">{#N/A,#N/A,FALSE,"31 - Balanço";#N/A,#N/A,FALSE,"41 - Resultado";#N/A,#N/A,FALSE,"51 - Fluxo de Caixa"}</definedName>
    <definedName name="WN" localSheetId="7" hidden="1">{#N/A,#N/A,FALSE,"31 - Balanço";#N/A,#N/A,FALSE,"41 - Resultado";#N/A,#N/A,FALSE,"51 - Fluxo de Caixa"}</definedName>
    <definedName name="WN" localSheetId="10" hidden="1">{#N/A,#N/A,FALSE,"31 - Balanço";#N/A,#N/A,FALSE,"41 - Resultado";#N/A,#N/A,FALSE,"51 - Fluxo de Caixa"}</definedName>
    <definedName name="WN" localSheetId="11" hidden="1">{#N/A,#N/A,FALSE,"31 - Balanço";#N/A,#N/A,FALSE,"41 - Resultado";#N/A,#N/A,FALSE,"51 - Fluxo de Caixa"}</definedName>
    <definedName name="WN" localSheetId="5" hidden="1">{#N/A,#N/A,FALSE,"31 - Balanço";#N/A,#N/A,FALSE,"41 - Resultado";#N/A,#N/A,FALSE,"51 - Fluxo de Caixa"}</definedName>
    <definedName name="WN" localSheetId="4" hidden="1">{#N/A,#N/A,FALSE,"31 - Balanço";#N/A,#N/A,FALSE,"41 - Resultado";#N/A,#N/A,FALSE,"51 - Fluxo de Caixa"}</definedName>
    <definedName name="WN" hidden="1">{#N/A,#N/A,FALSE,"31 - Balanço";#N/A,#N/A,FALSE,"41 - Resultado";#N/A,#N/A,FALSE,"51 - Fluxo de Caixa"}</definedName>
    <definedName name="WR" localSheetId="3" hidden="1">{"'Quadro'!$A$4:$BG$78"}</definedName>
    <definedName name="WR" localSheetId="6" hidden="1">{"'Quadro'!$A$4:$BG$78"}</definedName>
    <definedName name="WR" localSheetId="7" hidden="1">{"'Quadro'!$A$4:$BG$78"}</definedName>
    <definedName name="WR" localSheetId="10" hidden="1">{"'Quadro'!$A$4:$BG$78"}</definedName>
    <definedName name="WR" localSheetId="11" hidden="1">{"'Quadro'!$A$4:$BG$78"}</definedName>
    <definedName name="WR" localSheetId="5" hidden="1">{"'Quadro'!$A$4:$BG$78"}</definedName>
    <definedName name="WR" localSheetId="4" hidden="1">{"'Quadro'!$A$4:$BG$78"}</definedName>
    <definedName name="WR" hidden="1">{"'Quadro'!$A$4:$BG$78"}</definedName>
    <definedName name="wrn.Acquisition_matrix." localSheetId="3" hidden="1">{"Acq_matrix",#N/A,FALSE,"Acquisition Matrix"}</definedName>
    <definedName name="wrn.Acquisition_matrix." localSheetId="6" hidden="1">{"Acq_matrix",#N/A,FALSE,"Acquisition Matrix"}</definedName>
    <definedName name="wrn.Acquisition_matrix." localSheetId="7" hidden="1">{"Acq_matrix",#N/A,FALSE,"Acquisition Matrix"}</definedName>
    <definedName name="wrn.Acquisition_matrix." localSheetId="10" hidden="1">{"Acq_matrix",#N/A,FALSE,"Acquisition Matrix"}</definedName>
    <definedName name="wrn.Acquisition_matrix." localSheetId="11" hidden="1">{"Acq_matrix",#N/A,FALSE,"Acquisition Matrix"}</definedName>
    <definedName name="wrn.Acquisition_matrix." localSheetId="5" hidden="1">{"Acq_matrix",#N/A,FALSE,"Acquisition Matrix"}</definedName>
    <definedName name="wrn.Acquisition_matrix." localSheetId="4" hidden="1">{"Acq_matrix",#N/A,FALSE,"Acquisition Matrix"}</definedName>
    <definedName name="wrn.Acquisition_matrix." hidden="1">{"Acq_matrix",#N/A,FALSE,"Acquisition Matrix"}</definedName>
    <definedName name="wrn.Aging._.and._.Trend._.Analysis." localSheetId="3" hidden="1">{#N/A,#N/A,FALSE,"Aging Summary";#N/A,#N/A,FALSE,"Ratio Analysis";#N/A,#N/A,FALSE,"Test 120 Day Accts";#N/A,#N/A,FALSE,"Tickmarks"}</definedName>
    <definedName name="wrn.Aging._.and._.Trend._.Analysis." localSheetId="6" hidden="1">{#N/A,#N/A,FALSE,"Aging Summary";#N/A,#N/A,FALSE,"Ratio Analysis";#N/A,#N/A,FALSE,"Test 120 Day Accts";#N/A,#N/A,FALSE,"Tickmarks"}</definedName>
    <definedName name="wrn.Aging._.and._.Trend._.Analysis." localSheetId="7" hidden="1">{#N/A,#N/A,FALSE,"Aging Summary";#N/A,#N/A,FALSE,"Ratio Analysis";#N/A,#N/A,FALSE,"Test 120 Day Accts";#N/A,#N/A,FALSE,"Tickmarks"}</definedName>
    <definedName name="wrn.Aging._.and._.Trend._.Analysis." localSheetId="10" hidden="1">{#N/A,#N/A,FALSE,"Aging Summary";#N/A,#N/A,FALSE,"Ratio Analysis";#N/A,#N/A,FALSE,"Test 120 Day Accts";#N/A,#N/A,FALSE,"Tickmarks"}</definedName>
    <definedName name="wrn.Aging._.and._.Trend._.Analysis." localSheetId="11" hidden="1">{#N/A,#N/A,FALSE,"Aging Summary";#N/A,#N/A,FALSE,"Ratio Analysis";#N/A,#N/A,FALSE,"Test 120 Day Accts";#N/A,#N/A,FALSE,"Tickmarks"}</definedName>
    <definedName name="wrn.Aging._.and._.Trend._.Analysis." localSheetId="5" hidden="1">{#N/A,#N/A,FALSE,"Aging Summary";#N/A,#N/A,FALSE,"Ratio Analysis";#N/A,#N/A,FALSE,"Test 120 Day Accts";#N/A,#N/A,FALSE,"Tickmarks"}</definedName>
    <definedName name="wrn.Aging._.and._.Trend._.Analysis." localSheetId="4"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kerr" localSheetId="3"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wrn.akerr" localSheetId="6"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wrn.akerr" localSheetId="7"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wrn.akerr" localSheetId="10"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wrn.akerr" localSheetId="11"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wrn.akerr" localSheetId="5"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wrn.akerr" localSheetId="4"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wrn.akerr"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wrn.AkerRGI96." localSheetId="3"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wrn.AkerRGI96." localSheetId="6"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wrn.AkerRGI96." localSheetId="7"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wrn.AkerRGI96." localSheetId="10"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wrn.AkerRGI96." localSheetId="11"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wrn.AkerRGI96." localSheetId="5"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wrn.AkerRGI96." localSheetId="4"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wrn.AkerRGI96." hidden="1">{#N/A,#N/A,FALSE,"ResRegn.A-kons.";#N/A,#N/A,FALSE,"Bal3112.A-kons.";#N/A,#N/A,FALSE,"Kont.a.A-kons.";#N/A,#N/A,FALSE,"Note 1-3";#N/A,#N/A,FALSE,"Note 4-10";#N/A,#N/A,FALSE,"Note11-12";#N/A,#N/A,FALSE,"Noter Balanse.A-kons.";#N/A,#N/A,FALSE,"Note 17-18.A-kons. ";#N/A,#N/A,FALSE,"Note 19 A-kons.";#N/A,#N/A,FALSE,"Note 20-22.A-kons.";#N/A,#N/A,FALSE,"Note 23 A-kons.";#N/A,#N/A,FALSE,"Note 24-31.A-kons.";#N/A,#N/A,FALSE,"Note 32-34 A-kons.";#N/A,#N/A,FALSE,"Note 35-36.A-kons.";#N/A,#N/A,FALSE,"Nøkkeltall"}</definedName>
    <definedName name="wrn.ALAN." localSheetId="3" hidden="1">{"CREDIT STATISTICS",#N/A,FALSE,"STATS";"CF_AND_IS",#N/A,FALSE,"PLAN";"DEBT SCHEDULE",#N/A,FALSE,"PLAN";"SUBSCRIBERS",#N/A,FALSE,"PLAN";"DETAIL_REV",#N/A,FALSE,"PLAN";"DETAIL_EXPENSE",#N/A,FALSE,"PLAN";"SALES_AND EXP_DRIVERS",#N/A,FALSE,"PLAN";"FIXED ASSETS",#N/A,FALSE,"PLAN";"DEPRECIATION SCHEDULE",#N/A,FALSE,"PLAN"}</definedName>
    <definedName name="wrn.ALAN." localSheetId="6" hidden="1">{"CREDIT STATISTICS",#N/A,FALSE,"STATS";"CF_AND_IS",#N/A,FALSE,"PLAN";"DEBT SCHEDULE",#N/A,FALSE,"PLAN";"SUBSCRIBERS",#N/A,FALSE,"PLAN";"DETAIL_REV",#N/A,FALSE,"PLAN";"DETAIL_EXPENSE",#N/A,FALSE,"PLAN";"SALES_AND EXP_DRIVERS",#N/A,FALSE,"PLAN";"FIXED ASSETS",#N/A,FALSE,"PLAN";"DEPRECIATION SCHEDULE",#N/A,FALSE,"PLAN"}</definedName>
    <definedName name="wrn.ALAN." localSheetId="7" hidden="1">{"CREDIT STATISTICS",#N/A,FALSE,"STATS";"CF_AND_IS",#N/A,FALSE,"PLAN";"DEBT SCHEDULE",#N/A,FALSE,"PLAN";"SUBSCRIBERS",#N/A,FALSE,"PLAN";"DETAIL_REV",#N/A,FALSE,"PLAN";"DETAIL_EXPENSE",#N/A,FALSE,"PLAN";"SALES_AND EXP_DRIVERS",#N/A,FALSE,"PLAN";"FIXED ASSETS",#N/A,FALSE,"PLAN";"DEPRECIATION SCHEDULE",#N/A,FALSE,"PLAN"}</definedName>
    <definedName name="wrn.ALAN." localSheetId="10" hidden="1">{"CREDIT STATISTICS",#N/A,FALSE,"STATS";"CF_AND_IS",#N/A,FALSE,"PLAN";"DEBT SCHEDULE",#N/A,FALSE,"PLAN";"SUBSCRIBERS",#N/A,FALSE,"PLAN";"DETAIL_REV",#N/A,FALSE,"PLAN";"DETAIL_EXPENSE",#N/A,FALSE,"PLAN";"SALES_AND EXP_DRIVERS",#N/A,FALSE,"PLAN";"FIXED ASSETS",#N/A,FALSE,"PLAN";"DEPRECIATION SCHEDULE",#N/A,FALSE,"PLAN"}</definedName>
    <definedName name="wrn.ALAN." localSheetId="11" hidden="1">{"CREDIT STATISTICS",#N/A,FALSE,"STATS";"CF_AND_IS",#N/A,FALSE,"PLAN";"DEBT SCHEDULE",#N/A,FALSE,"PLAN";"SUBSCRIBERS",#N/A,FALSE,"PLAN";"DETAIL_REV",#N/A,FALSE,"PLAN";"DETAIL_EXPENSE",#N/A,FALSE,"PLAN";"SALES_AND EXP_DRIVERS",#N/A,FALSE,"PLAN";"FIXED ASSETS",#N/A,FALSE,"PLAN";"DEPRECIATION SCHEDULE",#N/A,FALSE,"PLAN"}</definedName>
    <definedName name="wrn.ALAN." localSheetId="5" hidden="1">{"CREDIT STATISTICS",#N/A,FALSE,"STATS";"CF_AND_IS",#N/A,FALSE,"PLAN";"DEBT SCHEDULE",#N/A,FALSE,"PLAN";"SUBSCRIBERS",#N/A,FALSE,"PLAN";"DETAIL_REV",#N/A,FALSE,"PLAN";"DETAIL_EXPENSE",#N/A,FALSE,"PLAN";"SALES_AND EXP_DRIVERS",#N/A,FALSE,"PLAN";"FIXED ASSETS",#N/A,FALSE,"PLAN";"DEPRECIATION SCHEDULE",#N/A,FALSE,"PLAN"}</definedName>
    <definedName name="wrn.ALAN." localSheetId="4" hidden="1">{"CREDIT STATISTICS",#N/A,FALSE,"STATS";"CF_AND_IS",#N/A,FALSE,"PLAN";"DEBT SCHEDULE",#N/A,FALSE,"PLAN";"SUBSCRIBERS",#N/A,FALSE,"PLAN";"DETAIL_REV",#N/A,FALSE,"PLAN";"DETAIL_EXPENSE",#N/A,FALSE,"PLAN";"SALES_AND EXP_DRIVERS",#N/A,FALSE,"PLAN";"FIXED ASSETS",#N/A,FALSE,"PLAN";"DEPRECIATION SCHEDULE",#N/A,FALSE,"PLAN"}</definedName>
    <definedName name="wrn.ALAN." hidden="1">{"CREDIT STATISTICS",#N/A,FALSE,"STATS";"CF_AND_IS",#N/A,FALSE,"PLAN";"DEBT SCHEDULE",#N/A,FALSE,"PLAN";"SUBSCRIBERS",#N/A,FALSE,"PLAN";"DETAIL_REV",#N/A,FALSE,"PLAN";"DETAIL_EXPENSE",#N/A,FALSE,"PLAN";"SALES_AND EXP_DRIVERS",#N/A,FALSE,"PLAN";"FIXED ASSETS",#N/A,FALSE,"PLAN";"DEPRECIATION SCHEDULE",#N/A,FALSE,"PLAN"}</definedName>
    <definedName name="wrn.all." localSheetId="3" hidden="1">{#N/A,#N/A,FALSE,"cpt"}</definedName>
    <definedName name="wrn.all." localSheetId="6" hidden="1">{#N/A,#N/A,FALSE,"cpt"}</definedName>
    <definedName name="wrn.all." localSheetId="7" hidden="1">{#N/A,#N/A,FALSE,"cpt"}</definedName>
    <definedName name="wrn.all." localSheetId="10" hidden="1">{#N/A,#N/A,FALSE,"cpt"}</definedName>
    <definedName name="wrn.all." localSheetId="11" hidden="1">{#N/A,#N/A,FALSE,"cpt"}</definedName>
    <definedName name="wrn.all." localSheetId="5" hidden="1">{#N/A,#N/A,FALSE,"cpt"}</definedName>
    <definedName name="wrn.all." localSheetId="4" hidden="1">{#N/A,#N/A,FALSE,"cpt"}</definedName>
    <definedName name="wrn.all." hidden="1">{#N/A,#N/A,FALSE,"cpt"}</definedName>
    <definedName name="wrn.All._.Tabs._.for._.Ken." localSheetId="3" hidden="1">{#N/A,#N/A,FALSE,"CW Summary";#N/A,#N/A,FALSE,"Weekly Tracking";#N/A,#N/A,FALSE,"MSA";#N/A,#N/A,FALSE,"Parts";#N/A,#N/A,FALSE,"RS";#N/A,#N/A,FALSE,"Mods";#N/A,#N/A,FALSE,"GEVISA";#N/A,#N/A,FALSE,"HQ"}</definedName>
    <definedName name="wrn.All._.Tabs._.for._.Ken." localSheetId="6" hidden="1">{#N/A,#N/A,FALSE,"CW Summary";#N/A,#N/A,FALSE,"Weekly Tracking";#N/A,#N/A,FALSE,"MSA";#N/A,#N/A,FALSE,"Parts";#N/A,#N/A,FALSE,"RS";#N/A,#N/A,FALSE,"Mods";#N/A,#N/A,FALSE,"GEVISA";#N/A,#N/A,FALSE,"HQ"}</definedName>
    <definedName name="wrn.All._.Tabs._.for._.Ken." localSheetId="7" hidden="1">{#N/A,#N/A,FALSE,"CW Summary";#N/A,#N/A,FALSE,"Weekly Tracking";#N/A,#N/A,FALSE,"MSA";#N/A,#N/A,FALSE,"Parts";#N/A,#N/A,FALSE,"RS";#N/A,#N/A,FALSE,"Mods";#N/A,#N/A,FALSE,"GEVISA";#N/A,#N/A,FALSE,"HQ"}</definedName>
    <definedName name="wrn.All._.Tabs._.for._.Ken." localSheetId="10" hidden="1">{#N/A,#N/A,FALSE,"CW Summary";#N/A,#N/A,FALSE,"Weekly Tracking";#N/A,#N/A,FALSE,"MSA";#N/A,#N/A,FALSE,"Parts";#N/A,#N/A,FALSE,"RS";#N/A,#N/A,FALSE,"Mods";#N/A,#N/A,FALSE,"GEVISA";#N/A,#N/A,FALSE,"HQ"}</definedName>
    <definedName name="wrn.All._.Tabs._.for._.Ken." localSheetId="11" hidden="1">{#N/A,#N/A,FALSE,"CW Summary";#N/A,#N/A,FALSE,"Weekly Tracking";#N/A,#N/A,FALSE,"MSA";#N/A,#N/A,FALSE,"Parts";#N/A,#N/A,FALSE,"RS";#N/A,#N/A,FALSE,"Mods";#N/A,#N/A,FALSE,"GEVISA";#N/A,#N/A,FALSE,"HQ"}</definedName>
    <definedName name="wrn.All._.Tabs._.for._.Ken." localSheetId="5" hidden="1">{#N/A,#N/A,FALSE,"CW Summary";#N/A,#N/A,FALSE,"Weekly Tracking";#N/A,#N/A,FALSE,"MSA";#N/A,#N/A,FALSE,"Parts";#N/A,#N/A,FALSE,"RS";#N/A,#N/A,FALSE,"Mods";#N/A,#N/A,FALSE,"GEVISA";#N/A,#N/A,FALSE,"HQ"}</definedName>
    <definedName name="wrn.All._.Tabs._.for._.Ken." localSheetId="4" hidden="1">{#N/A,#N/A,FALSE,"CW Summary";#N/A,#N/A,FALSE,"Weekly Tracking";#N/A,#N/A,FALSE,"MSA";#N/A,#N/A,FALSE,"Parts";#N/A,#N/A,FALSE,"RS";#N/A,#N/A,FALSE,"Mods";#N/A,#N/A,FALSE,"GEVISA";#N/A,#N/A,FALSE,"HQ"}</definedName>
    <definedName name="wrn.All._.Tabs._.for._.Ken." hidden="1">{#N/A,#N/A,FALSE,"CW Summary";#N/A,#N/A,FALSE,"Weekly Tracking";#N/A,#N/A,FALSE,"MSA";#N/A,#N/A,FALSE,"Parts";#N/A,#N/A,FALSE,"RS";#N/A,#N/A,FALSE,"Mods";#N/A,#N/A,FALSE,"GEVISA";#N/A,#N/A,FALSE,"HQ"}</definedName>
    <definedName name="wrn.ALLE._.ÅRSKJEMAER." localSheetId="3" hidden="1">{#N/A,#N/A,FALSE,"Skjema 6.1 ";#N/A,#N/A,FALSE,"Skjema 6.2";#N/A,#N/A,FALSE,"Skjema 6.3";#N/A,#N/A,FALSE,"Skjema 6.4 ";#N/A,#N/A,FALSE,"Skjema 6.5";#N/A,#N/A,FALSE,"Skjema 6.6 ";#N/A,#N/A,FALSE,"Skjema 6.7 ";#N/A,#N/A,FALSE,"Skjema 6.8 ";#N/A,#N/A,FALSE,"Skjema 6.9";#N/A,#N/A,FALSE,"Skjema 6.10 ";#N/A,#N/A,FALSE,"Skjema 6.11 ";#N/A,#N/A,FALSE,"Skjema 6.12 ";#N/A,#N/A,FALSE,"Skjema 6.13 ";#N/A,#N/A,FALSE,"Skjema 6.14";#N/A,#N/A,FALSE,"Skjema 6.15 ";#N/A,#N/A,FALSE,"Skjema 6.16 ";#N/A,#N/A,FALSE,"Skjema 6.17 ";#N/A,#N/A,FALSE,"Skjema 6.18 ";#N/A,#N/A,FALSE,"Skjema 6.19 ";#N/A,#N/A,FALSE,"Skjema 6.20 ";#N/A,#N/A,FALSE,"Skjema 6.21";#N/A,#N/A,FALSE,"Skjema 6.22 ";#N/A,#N/A,FALSE,"Skjema 6.23 ";#N/A,#N/A,FALSE,"Skjema 6.24 ";#N/A,#N/A,FALSE,"Skjema 6.25";#N/A,#N/A,FALSE,"Skjema 6.26 ";#N/A,#N/A,FALSE,"Skjema 6.27";#N/A,#N/A,FALSE,"Skjema 6.28 ";#N/A,#N/A,FALSE,"Skjema 6.29";#N/A,#N/A,FALSE,"Skjema 6.30";#N/A,#N/A,FALSE,"Skjema 6.31";#N/A,#N/A,FALSE,"Skjema 6.31b"}</definedName>
    <definedName name="wrn.ALLE._.ÅRSKJEMAER." localSheetId="6" hidden="1">{#N/A,#N/A,FALSE,"Skjema 6.1 ";#N/A,#N/A,FALSE,"Skjema 6.2";#N/A,#N/A,FALSE,"Skjema 6.3";#N/A,#N/A,FALSE,"Skjema 6.4 ";#N/A,#N/A,FALSE,"Skjema 6.5";#N/A,#N/A,FALSE,"Skjema 6.6 ";#N/A,#N/A,FALSE,"Skjema 6.7 ";#N/A,#N/A,FALSE,"Skjema 6.8 ";#N/A,#N/A,FALSE,"Skjema 6.9";#N/A,#N/A,FALSE,"Skjema 6.10 ";#N/A,#N/A,FALSE,"Skjema 6.11 ";#N/A,#N/A,FALSE,"Skjema 6.12 ";#N/A,#N/A,FALSE,"Skjema 6.13 ";#N/A,#N/A,FALSE,"Skjema 6.14";#N/A,#N/A,FALSE,"Skjema 6.15 ";#N/A,#N/A,FALSE,"Skjema 6.16 ";#N/A,#N/A,FALSE,"Skjema 6.17 ";#N/A,#N/A,FALSE,"Skjema 6.18 ";#N/A,#N/A,FALSE,"Skjema 6.19 ";#N/A,#N/A,FALSE,"Skjema 6.20 ";#N/A,#N/A,FALSE,"Skjema 6.21";#N/A,#N/A,FALSE,"Skjema 6.22 ";#N/A,#N/A,FALSE,"Skjema 6.23 ";#N/A,#N/A,FALSE,"Skjema 6.24 ";#N/A,#N/A,FALSE,"Skjema 6.25";#N/A,#N/A,FALSE,"Skjema 6.26 ";#N/A,#N/A,FALSE,"Skjema 6.27";#N/A,#N/A,FALSE,"Skjema 6.28 ";#N/A,#N/A,FALSE,"Skjema 6.29";#N/A,#N/A,FALSE,"Skjema 6.30";#N/A,#N/A,FALSE,"Skjema 6.31";#N/A,#N/A,FALSE,"Skjema 6.31b"}</definedName>
    <definedName name="wrn.ALLE._.ÅRSKJEMAER." localSheetId="7" hidden="1">{#N/A,#N/A,FALSE,"Skjema 6.1 ";#N/A,#N/A,FALSE,"Skjema 6.2";#N/A,#N/A,FALSE,"Skjema 6.3";#N/A,#N/A,FALSE,"Skjema 6.4 ";#N/A,#N/A,FALSE,"Skjema 6.5";#N/A,#N/A,FALSE,"Skjema 6.6 ";#N/A,#N/A,FALSE,"Skjema 6.7 ";#N/A,#N/A,FALSE,"Skjema 6.8 ";#N/A,#N/A,FALSE,"Skjema 6.9";#N/A,#N/A,FALSE,"Skjema 6.10 ";#N/A,#N/A,FALSE,"Skjema 6.11 ";#N/A,#N/A,FALSE,"Skjema 6.12 ";#N/A,#N/A,FALSE,"Skjema 6.13 ";#N/A,#N/A,FALSE,"Skjema 6.14";#N/A,#N/A,FALSE,"Skjema 6.15 ";#N/A,#N/A,FALSE,"Skjema 6.16 ";#N/A,#N/A,FALSE,"Skjema 6.17 ";#N/A,#N/A,FALSE,"Skjema 6.18 ";#N/A,#N/A,FALSE,"Skjema 6.19 ";#N/A,#N/A,FALSE,"Skjema 6.20 ";#N/A,#N/A,FALSE,"Skjema 6.21";#N/A,#N/A,FALSE,"Skjema 6.22 ";#N/A,#N/A,FALSE,"Skjema 6.23 ";#N/A,#N/A,FALSE,"Skjema 6.24 ";#N/A,#N/A,FALSE,"Skjema 6.25";#N/A,#N/A,FALSE,"Skjema 6.26 ";#N/A,#N/A,FALSE,"Skjema 6.27";#N/A,#N/A,FALSE,"Skjema 6.28 ";#N/A,#N/A,FALSE,"Skjema 6.29";#N/A,#N/A,FALSE,"Skjema 6.30";#N/A,#N/A,FALSE,"Skjema 6.31";#N/A,#N/A,FALSE,"Skjema 6.31b"}</definedName>
    <definedName name="wrn.ALLE._.ÅRSKJEMAER." localSheetId="10" hidden="1">{#N/A,#N/A,FALSE,"Skjema 6.1 ";#N/A,#N/A,FALSE,"Skjema 6.2";#N/A,#N/A,FALSE,"Skjema 6.3";#N/A,#N/A,FALSE,"Skjema 6.4 ";#N/A,#N/A,FALSE,"Skjema 6.5";#N/A,#N/A,FALSE,"Skjema 6.6 ";#N/A,#N/A,FALSE,"Skjema 6.7 ";#N/A,#N/A,FALSE,"Skjema 6.8 ";#N/A,#N/A,FALSE,"Skjema 6.9";#N/A,#N/A,FALSE,"Skjema 6.10 ";#N/A,#N/A,FALSE,"Skjema 6.11 ";#N/A,#N/A,FALSE,"Skjema 6.12 ";#N/A,#N/A,FALSE,"Skjema 6.13 ";#N/A,#N/A,FALSE,"Skjema 6.14";#N/A,#N/A,FALSE,"Skjema 6.15 ";#N/A,#N/A,FALSE,"Skjema 6.16 ";#N/A,#N/A,FALSE,"Skjema 6.17 ";#N/A,#N/A,FALSE,"Skjema 6.18 ";#N/A,#N/A,FALSE,"Skjema 6.19 ";#N/A,#N/A,FALSE,"Skjema 6.20 ";#N/A,#N/A,FALSE,"Skjema 6.21";#N/A,#N/A,FALSE,"Skjema 6.22 ";#N/A,#N/A,FALSE,"Skjema 6.23 ";#N/A,#N/A,FALSE,"Skjema 6.24 ";#N/A,#N/A,FALSE,"Skjema 6.25";#N/A,#N/A,FALSE,"Skjema 6.26 ";#N/A,#N/A,FALSE,"Skjema 6.27";#N/A,#N/A,FALSE,"Skjema 6.28 ";#N/A,#N/A,FALSE,"Skjema 6.29";#N/A,#N/A,FALSE,"Skjema 6.30";#N/A,#N/A,FALSE,"Skjema 6.31";#N/A,#N/A,FALSE,"Skjema 6.31b"}</definedName>
    <definedName name="wrn.ALLE._.ÅRSKJEMAER." localSheetId="11" hidden="1">{#N/A,#N/A,FALSE,"Skjema 6.1 ";#N/A,#N/A,FALSE,"Skjema 6.2";#N/A,#N/A,FALSE,"Skjema 6.3";#N/A,#N/A,FALSE,"Skjema 6.4 ";#N/A,#N/A,FALSE,"Skjema 6.5";#N/A,#N/A,FALSE,"Skjema 6.6 ";#N/A,#N/A,FALSE,"Skjema 6.7 ";#N/A,#N/A,FALSE,"Skjema 6.8 ";#N/A,#N/A,FALSE,"Skjema 6.9";#N/A,#N/A,FALSE,"Skjema 6.10 ";#N/A,#N/A,FALSE,"Skjema 6.11 ";#N/A,#N/A,FALSE,"Skjema 6.12 ";#N/A,#N/A,FALSE,"Skjema 6.13 ";#N/A,#N/A,FALSE,"Skjema 6.14";#N/A,#N/A,FALSE,"Skjema 6.15 ";#N/A,#N/A,FALSE,"Skjema 6.16 ";#N/A,#N/A,FALSE,"Skjema 6.17 ";#N/A,#N/A,FALSE,"Skjema 6.18 ";#N/A,#N/A,FALSE,"Skjema 6.19 ";#N/A,#N/A,FALSE,"Skjema 6.20 ";#N/A,#N/A,FALSE,"Skjema 6.21";#N/A,#N/A,FALSE,"Skjema 6.22 ";#N/A,#N/A,FALSE,"Skjema 6.23 ";#N/A,#N/A,FALSE,"Skjema 6.24 ";#N/A,#N/A,FALSE,"Skjema 6.25";#N/A,#N/A,FALSE,"Skjema 6.26 ";#N/A,#N/A,FALSE,"Skjema 6.27";#N/A,#N/A,FALSE,"Skjema 6.28 ";#N/A,#N/A,FALSE,"Skjema 6.29";#N/A,#N/A,FALSE,"Skjema 6.30";#N/A,#N/A,FALSE,"Skjema 6.31";#N/A,#N/A,FALSE,"Skjema 6.31b"}</definedName>
    <definedName name="wrn.ALLE._.ÅRSKJEMAER." localSheetId="5" hidden="1">{#N/A,#N/A,FALSE,"Skjema 6.1 ";#N/A,#N/A,FALSE,"Skjema 6.2";#N/A,#N/A,FALSE,"Skjema 6.3";#N/A,#N/A,FALSE,"Skjema 6.4 ";#N/A,#N/A,FALSE,"Skjema 6.5";#N/A,#N/A,FALSE,"Skjema 6.6 ";#N/A,#N/A,FALSE,"Skjema 6.7 ";#N/A,#N/A,FALSE,"Skjema 6.8 ";#N/A,#N/A,FALSE,"Skjema 6.9";#N/A,#N/A,FALSE,"Skjema 6.10 ";#N/A,#N/A,FALSE,"Skjema 6.11 ";#N/A,#N/A,FALSE,"Skjema 6.12 ";#N/A,#N/A,FALSE,"Skjema 6.13 ";#N/A,#N/A,FALSE,"Skjema 6.14";#N/A,#N/A,FALSE,"Skjema 6.15 ";#N/A,#N/A,FALSE,"Skjema 6.16 ";#N/A,#N/A,FALSE,"Skjema 6.17 ";#N/A,#N/A,FALSE,"Skjema 6.18 ";#N/A,#N/A,FALSE,"Skjema 6.19 ";#N/A,#N/A,FALSE,"Skjema 6.20 ";#N/A,#N/A,FALSE,"Skjema 6.21";#N/A,#N/A,FALSE,"Skjema 6.22 ";#N/A,#N/A,FALSE,"Skjema 6.23 ";#N/A,#N/A,FALSE,"Skjema 6.24 ";#N/A,#N/A,FALSE,"Skjema 6.25";#N/A,#N/A,FALSE,"Skjema 6.26 ";#N/A,#N/A,FALSE,"Skjema 6.27";#N/A,#N/A,FALSE,"Skjema 6.28 ";#N/A,#N/A,FALSE,"Skjema 6.29";#N/A,#N/A,FALSE,"Skjema 6.30";#N/A,#N/A,FALSE,"Skjema 6.31";#N/A,#N/A,FALSE,"Skjema 6.31b"}</definedName>
    <definedName name="wrn.ALLE._.ÅRSKJEMAER." localSheetId="4" hidden="1">{#N/A,#N/A,FALSE,"Skjema 6.1 ";#N/A,#N/A,FALSE,"Skjema 6.2";#N/A,#N/A,FALSE,"Skjema 6.3";#N/A,#N/A,FALSE,"Skjema 6.4 ";#N/A,#N/A,FALSE,"Skjema 6.5";#N/A,#N/A,FALSE,"Skjema 6.6 ";#N/A,#N/A,FALSE,"Skjema 6.7 ";#N/A,#N/A,FALSE,"Skjema 6.8 ";#N/A,#N/A,FALSE,"Skjema 6.9";#N/A,#N/A,FALSE,"Skjema 6.10 ";#N/A,#N/A,FALSE,"Skjema 6.11 ";#N/A,#N/A,FALSE,"Skjema 6.12 ";#N/A,#N/A,FALSE,"Skjema 6.13 ";#N/A,#N/A,FALSE,"Skjema 6.14";#N/A,#N/A,FALSE,"Skjema 6.15 ";#N/A,#N/A,FALSE,"Skjema 6.16 ";#N/A,#N/A,FALSE,"Skjema 6.17 ";#N/A,#N/A,FALSE,"Skjema 6.18 ";#N/A,#N/A,FALSE,"Skjema 6.19 ";#N/A,#N/A,FALSE,"Skjema 6.20 ";#N/A,#N/A,FALSE,"Skjema 6.21";#N/A,#N/A,FALSE,"Skjema 6.22 ";#N/A,#N/A,FALSE,"Skjema 6.23 ";#N/A,#N/A,FALSE,"Skjema 6.24 ";#N/A,#N/A,FALSE,"Skjema 6.25";#N/A,#N/A,FALSE,"Skjema 6.26 ";#N/A,#N/A,FALSE,"Skjema 6.27";#N/A,#N/A,FALSE,"Skjema 6.28 ";#N/A,#N/A,FALSE,"Skjema 6.29";#N/A,#N/A,FALSE,"Skjema 6.30";#N/A,#N/A,FALSE,"Skjema 6.31";#N/A,#N/A,FALSE,"Skjema 6.31b"}</definedName>
    <definedName name="wrn.ALLE._.ÅRSKJEMAER." hidden="1">{#N/A,#N/A,FALSE,"Skjema 6.1 ";#N/A,#N/A,FALSE,"Skjema 6.2";#N/A,#N/A,FALSE,"Skjema 6.3";#N/A,#N/A,FALSE,"Skjema 6.4 ";#N/A,#N/A,FALSE,"Skjema 6.5";#N/A,#N/A,FALSE,"Skjema 6.6 ";#N/A,#N/A,FALSE,"Skjema 6.7 ";#N/A,#N/A,FALSE,"Skjema 6.8 ";#N/A,#N/A,FALSE,"Skjema 6.9";#N/A,#N/A,FALSE,"Skjema 6.10 ";#N/A,#N/A,FALSE,"Skjema 6.11 ";#N/A,#N/A,FALSE,"Skjema 6.12 ";#N/A,#N/A,FALSE,"Skjema 6.13 ";#N/A,#N/A,FALSE,"Skjema 6.14";#N/A,#N/A,FALSE,"Skjema 6.15 ";#N/A,#N/A,FALSE,"Skjema 6.16 ";#N/A,#N/A,FALSE,"Skjema 6.17 ";#N/A,#N/A,FALSE,"Skjema 6.18 ";#N/A,#N/A,FALSE,"Skjema 6.19 ";#N/A,#N/A,FALSE,"Skjema 6.20 ";#N/A,#N/A,FALSE,"Skjema 6.21";#N/A,#N/A,FALSE,"Skjema 6.22 ";#N/A,#N/A,FALSE,"Skjema 6.23 ";#N/A,#N/A,FALSE,"Skjema 6.24 ";#N/A,#N/A,FALSE,"Skjema 6.25";#N/A,#N/A,FALSE,"Skjema 6.26 ";#N/A,#N/A,FALSE,"Skjema 6.27";#N/A,#N/A,FALSE,"Skjema 6.28 ";#N/A,#N/A,FALSE,"Skjema 6.29";#N/A,#N/A,FALSE,"Skjema 6.30";#N/A,#N/A,FALSE,"Skjema 6.31";#N/A,#N/A,FALSE,"Skjema 6.31b"}</definedName>
    <definedName name="wrn.ANEXO0300." localSheetId="3" hidden="1">{#N/A,#N/A,FALSE,"ANEXO3 00 GDV";#N/A,#N/A,FALSE,"ANEXO3 00 GCM";#N/A,#N/A,FALSE,"ANEXO3 00  UBÁ6";#N/A,#N/A,FALSE,"ANEXO3 00 CJI";#N/A,#N/A,FALSE,"ANEXO3 00 UBÁ4";#N/A,#N/A,FALSE,"ANEXO3 00 UBÁ5";#N/A,#N/A,FALSE,"ANEXO3 00 UBÁ7";#N/A,#N/A,FALSE,"ANEXO3 00 VRB1"}</definedName>
    <definedName name="wrn.ANEXO0300." localSheetId="6" hidden="1">{#N/A,#N/A,FALSE,"ANEXO3 00 GDV";#N/A,#N/A,FALSE,"ANEXO3 00 GCM";#N/A,#N/A,FALSE,"ANEXO3 00  UBÁ6";#N/A,#N/A,FALSE,"ANEXO3 00 CJI";#N/A,#N/A,FALSE,"ANEXO3 00 UBÁ4";#N/A,#N/A,FALSE,"ANEXO3 00 UBÁ5";#N/A,#N/A,FALSE,"ANEXO3 00 UBÁ7";#N/A,#N/A,FALSE,"ANEXO3 00 VRB1"}</definedName>
    <definedName name="wrn.ANEXO0300." localSheetId="7" hidden="1">{#N/A,#N/A,FALSE,"ANEXO3 00 GDV";#N/A,#N/A,FALSE,"ANEXO3 00 GCM";#N/A,#N/A,FALSE,"ANEXO3 00  UBÁ6";#N/A,#N/A,FALSE,"ANEXO3 00 CJI";#N/A,#N/A,FALSE,"ANEXO3 00 UBÁ4";#N/A,#N/A,FALSE,"ANEXO3 00 UBÁ5";#N/A,#N/A,FALSE,"ANEXO3 00 UBÁ7";#N/A,#N/A,FALSE,"ANEXO3 00 VRB1"}</definedName>
    <definedName name="wrn.ANEXO0300." localSheetId="10" hidden="1">{#N/A,#N/A,FALSE,"ANEXO3 00 GDV";#N/A,#N/A,FALSE,"ANEXO3 00 GCM";#N/A,#N/A,FALSE,"ANEXO3 00  UBÁ6";#N/A,#N/A,FALSE,"ANEXO3 00 CJI";#N/A,#N/A,FALSE,"ANEXO3 00 UBÁ4";#N/A,#N/A,FALSE,"ANEXO3 00 UBÁ5";#N/A,#N/A,FALSE,"ANEXO3 00 UBÁ7";#N/A,#N/A,FALSE,"ANEXO3 00 VRB1"}</definedName>
    <definedName name="wrn.ANEXO0300." localSheetId="11" hidden="1">{#N/A,#N/A,FALSE,"ANEXO3 00 GDV";#N/A,#N/A,FALSE,"ANEXO3 00 GCM";#N/A,#N/A,FALSE,"ANEXO3 00  UBÁ6";#N/A,#N/A,FALSE,"ANEXO3 00 CJI";#N/A,#N/A,FALSE,"ANEXO3 00 UBÁ4";#N/A,#N/A,FALSE,"ANEXO3 00 UBÁ5";#N/A,#N/A,FALSE,"ANEXO3 00 UBÁ7";#N/A,#N/A,FALSE,"ANEXO3 00 VRB1"}</definedName>
    <definedName name="wrn.ANEXO0300." localSheetId="5" hidden="1">{#N/A,#N/A,FALSE,"ANEXO3 00 GDV";#N/A,#N/A,FALSE,"ANEXO3 00 GCM";#N/A,#N/A,FALSE,"ANEXO3 00  UBÁ6";#N/A,#N/A,FALSE,"ANEXO3 00 CJI";#N/A,#N/A,FALSE,"ANEXO3 00 UBÁ4";#N/A,#N/A,FALSE,"ANEXO3 00 UBÁ5";#N/A,#N/A,FALSE,"ANEXO3 00 UBÁ7";#N/A,#N/A,FALSE,"ANEXO3 00 VRB1"}</definedName>
    <definedName name="wrn.ANEXO0300." localSheetId="4" hidden="1">{#N/A,#N/A,FALSE,"ANEXO3 00 GDV";#N/A,#N/A,FALSE,"ANEXO3 00 GCM";#N/A,#N/A,FALSE,"ANEXO3 00  UBÁ6";#N/A,#N/A,FALSE,"ANEXO3 00 CJI";#N/A,#N/A,FALSE,"ANEXO3 00 UBÁ4";#N/A,#N/A,FALSE,"ANEXO3 00 UBÁ5";#N/A,#N/A,FALSE,"ANEXO3 00 UBÁ7";#N/A,#N/A,FALSE,"ANEXO3 00 VRB1"}</definedName>
    <definedName name="wrn.ANEXO0300." hidden="1">{#N/A,#N/A,FALSE,"ANEXO3 00 GDV";#N/A,#N/A,FALSE,"ANEXO3 00 GCM";#N/A,#N/A,FALSE,"ANEXO3 00  UBÁ6";#N/A,#N/A,FALSE,"ANEXO3 00 CJI";#N/A,#N/A,FALSE,"ANEXO3 00 UBÁ4";#N/A,#N/A,FALSE,"ANEXO3 00 UBÁ5";#N/A,#N/A,FALSE,"ANEXO3 00 UBÁ7";#N/A,#N/A,FALSE,"ANEXO3 00 VRB1"}</definedName>
    <definedName name="wrn.ANEXO0399." localSheetId="3" hidden="1">{#N/A,#N/A,FALSE,"ANEXO3 99 ERA";#N/A,#N/A,FALSE,"ANEXO3 99 UBÁ2";#N/A,#N/A,FALSE,"ANEXO3 99 DTU";#N/A,#N/A,FALSE,"ANEXO3 99 RDR";#N/A,#N/A,FALSE,"ANEXO3 99 UBÁ4";#N/A,#N/A,FALSE,"ANEXO3 99 UBÁ6"}</definedName>
    <definedName name="wrn.ANEXO0399." localSheetId="6" hidden="1">{#N/A,#N/A,FALSE,"ANEXO3 99 ERA";#N/A,#N/A,FALSE,"ANEXO3 99 UBÁ2";#N/A,#N/A,FALSE,"ANEXO3 99 DTU";#N/A,#N/A,FALSE,"ANEXO3 99 RDR";#N/A,#N/A,FALSE,"ANEXO3 99 UBÁ4";#N/A,#N/A,FALSE,"ANEXO3 99 UBÁ6"}</definedName>
    <definedName name="wrn.ANEXO0399." localSheetId="7" hidden="1">{#N/A,#N/A,FALSE,"ANEXO3 99 ERA";#N/A,#N/A,FALSE,"ANEXO3 99 UBÁ2";#N/A,#N/A,FALSE,"ANEXO3 99 DTU";#N/A,#N/A,FALSE,"ANEXO3 99 RDR";#N/A,#N/A,FALSE,"ANEXO3 99 UBÁ4";#N/A,#N/A,FALSE,"ANEXO3 99 UBÁ6"}</definedName>
    <definedName name="wrn.ANEXO0399." localSheetId="10" hidden="1">{#N/A,#N/A,FALSE,"ANEXO3 99 ERA";#N/A,#N/A,FALSE,"ANEXO3 99 UBÁ2";#N/A,#N/A,FALSE,"ANEXO3 99 DTU";#N/A,#N/A,FALSE,"ANEXO3 99 RDR";#N/A,#N/A,FALSE,"ANEXO3 99 UBÁ4";#N/A,#N/A,FALSE,"ANEXO3 99 UBÁ6"}</definedName>
    <definedName name="wrn.ANEXO0399." localSheetId="11" hidden="1">{#N/A,#N/A,FALSE,"ANEXO3 99 ERA";#N/A,#N/A,FALSE,"ANEXO3 99 UBÁ2";#N/A,#N/A,FALSE,"ANEXO3 99 DTU";#N/A,#N/A,FALSE,"ANEXO3 99 RDR";#N/A,#N/A,FALSE,"ANEXO3 99 UBÁ4";#N/A,#N/A,FALSE,"ANEXO3 99 UBÁ6"}</definedName>
    <definedName name="wrn.ANEXO0399." localSheetId="5" hidden="1">{#N/A,#N/A,FALSE,"ANEXO3 99 ERA";#N/A,#N/A,FALSE,"ANEXO3 99 UBÁ2";#N/A,#N/A,FALSE,"ANEXO3 99 DTU";#N/A,#N/A,FALSE,"ANEXO3 99 RDR";#N/A,#N/A,FALSE,"ANEXO3 99 UBÁ4";#N/A,#N/A,FALSE,"ANEXO3 99 UBÁ6"}</definedName>
    <definedName name="wrn.ANEXO0399." localSheetId="4" hidden="1">{#N/A,#N/A,FALSE,"ANEXO3 99 ERA";#N/A,#N/A,FALSE,"ANEXO3 99 UBÁ2";#N/A,#N/A,FALSE,"ANEXO3 99 DTU";#N/A,#N/A,FALSE,"ANEXO3 99 RDR";#N/A,#N/A,FALSE,"ANEXO3 99 UBÁ4";#N/A,#N/A,FALSE,"ANEXO3 99 UBÁ6"}</definedName>
    <definedName name="wrn.ANEXO0399." hidden="1">{#N/A,#N/A,FALSE,"ANEXO3 99 ERA";#N/A,#N/A,FALSE,"ANEXO3 99 UBÁ2";#N/A,#N/A,FALSE,"ANEXO3 99 DTU";#N/A,#N/A,FALSE,"ANEXO3 99 RDR";#N/A,#N/A,FALSE,"ANEXO3 99 UBÁ4";#N/A,#N/A,FALSE,"ANEXO3 99 UBÁ6"}</definedName>
    <definedName name="wrn.ANNUAL._.ACCOUNTS._.FORM." localSheetId="3" hidden="1">{#N/A,#N/A,FALSE,"FORM 6.1 ";#N/A,#N/A,FALSE,"FORM 6.2";#N/A,#N/A,FALSE,"FORM 6.3";#N/A,#N/A,FALSE,"FORM 6.4";#N/A,#N/A,FALSE,"FORM 6.5";#N/A,#N/A,FALSE,"FORM 6.6 ";#N/A,#N/A,FALSE,"FORM 6.7 ";#N/A,#N/A,FALSE,"FORM 6.8 ";#N/A,#N/A,FALSE,"FORM 6.9";#N/A,#N/A,FALSE,"FORM 6.10 ";#N/A,#N/A,FALSE,"FORM 6.11 ";#N/A,#N/A,FALSE,"FORM 6.12 ";#N/A,#N/A,FALSE,"FORM 6.13 ";#N/A,#N/A,FALSE,"FORM 6.14";#N/A,#N/A,FALSE,"FORM 6.15 ";#N/A,#N/A,FALSE,"FORM 6.16 ";#N/A,#N/A,FALSE,"FORM 6.17 ";#N/A,#N/A,FALSE,"FORM 6.18 ";#N/A,#N/A,FALSE,"FORM 6.19 ";#N/A,#N/A,FALSE,"FORM 6.20 ";#N/A,#N/A,FALSE,"FORM 6.21";#N/A,#N/A,FALSE,"FORM 6.22 ";#N/A,#N/A,FALSE,"FORM 6.23 ";#N/A,#N/A,FALSE,"FORM 6.24 ";#N/A,#N/A,FALSE,"FORM 6.25";#N/A,#N/A,FALSE,"FORM 6.26 ";#N/A,#N/A,FALSE,"FORM 6.27";#N/A,#N/A,FALSE,"FORM 6.28 ";#N/A,#N/A,FALSE,"FORM 6.29";#N/A,#N/A,FALSE,"FORM 6.30";#N/A,#N/A,FALSE,"FORM 6.31"}</definedName>
    <definedName name="wrn.ANNUAL._.ACCOUNTS._.FORM." localSheetId="6" hidden="1">{#N/A,#N/A,FALSE,"FORM 6.1 ";#N/A,#N/A,FALSE,"FORM 6.2";#N/A,#N/A,FALSE,"FORM 6.3";#N/A,#N/A,FALSE,"FORM 6.4";#N/A,#N/A,FALSE,"FORM 6.5";#N/A,#N/A,FALSE,"FORM 6.6 ";#N/A,#N/A,FALSE,"FORM 6.7 ";#N/A,#N/A,FALSE,"FORM 6.8 ";#N/A,#N/A,FALSE,"FORM 6.9";#N/A,#N/A,FALSE,"FORM 6.10 ";#N/A,#N/A,FALSE,"FORM 6.11 ";#N/A,#N/A,FALSE,"FORM 6.12 ";#N/A,#N/A,FALSE,"FORM 6.13 ";#N/A,#N/A,FALSE,"FORM 6.14";#N/A,#N/A,FALSE,"FORM 6.15 ";#N/A,#N/A,FALSE,"FORM 6.16 ";#N/A,#N/A,FALSE,"FORM 6.17 ";#N/A,#N/A,FALSE,"FORM 6.18 ";#N/A,#N/A,FALSE,"FORM 6.19 ";#N/A,#N/A,FALSE,"FORM 6.20 ";#N/A,#N/A,FALSE,"FORM 6.21";#N/A,#N/A,FALSE,"FORM 6.22 ";#N/A,#N/A,FALSE,"FORM 6.23 ";#N/A,#N/A,FALSE,"FORM 6.24 ";#N/A,#N/A,FALSE,"FORM 6.25";#N/A,#N/A,FALSE,"FORM 6.26 ";#N/A,#N/A,FALSE,"FORM 6.27";#N/A,#N/A,FALSE,"FORM 6.28 ";#N/A,#N/A,FALSE,"FORM 6.29";#N/A,#N/A,FALSE,"FORM 6.30";#N/A,#N/A,FALSE,"FORM 6.31"}</definedName>
    <definedName name="wrn.ANNUAL._.ACCOUNTS._.FORM." localSheetId="7" hidden="1">{#N/A,#N/A,FALSE,"FORM 6.1 ";#N/A,#N/A,FALSE,"FORM 6.2";#N/A,#N/A,FALSE,"FORM 6.3";#N/A,#N/A,FALSE,"FORM 6.4";#N/A,#N/A,FALSE,"FORM 6.5";#N/A,#N/A,FALSE,"FORM 6.6 ";#N/A,#N/A,FALSE,"FORM 6.7 ";#N/A,#N/A,FALSE,"FORM 6.8 ";#N/A,#N/A,FALSE,"FORM 6.9";#N/A,#N/A,FALSE,"FORM 6.10 ";#N/A,#N/A,FALSE,"FORM 6.11 ";#N/A,#N/A,FALSE,"FORM 6.12 ";#N/A,#N/A,FALSE,"FORM 6.13 ";#N/A,#N/A,FALSE,"FORM 6.14";#N/A,#N/A,FALSE,"FORM 6.15 ";#N/A,#N/A,FALSE,"FORM 6.16 ";#N/A,#N/A,FALSE,"FORM 6.17 ";#N/A,#N/A,FALSE,"FORM 6.18 ";#N/A,#N/A,FALSE,"FORM 6.19 ";#N/A,#N/A,FALSE,"FORM 6.20 ";#N/A,#N/A,FALSE,"FORM 6.21";#N/A,#N/A,FALSE,"FORM 6.22 ";#N/A,#N/A,FALSE,"FORM 6.23 ";#N/A,#N/A,FALSE,"FORM 6.24 ";#N/A,#N/A,FALSE,"FORM 6.25";#N/A,#N/A,FALSE,"FORM 6.26 ";#N/A,#N/A,FALSE,"FORM 6.27";#N/A,#N/A,FALSE,"FORM 6.28 ";#N/A,#N/A,FALSE,"FORM 6.29";#N/A,#N/A,FALSE,"FORM 6.30";#N/A,#N/A,FALSE,"FORM 6.31"}</definedName>
    <definedName name="wrn.ANNUAL._.ACCOUNTS._.FORM." localSheetId="10" hidden="1">{#N/A,#N/A,FALSE,"FORM 6.1 ";#N/A,#N/A,FALSE,"FORM 6.2";#N/A,#N/A,FALSE,"FORM 6.3";#N/A,#N/A,FALSE,"FORM 6.4";#N/A,#N/A,FALSE,"FORM 6.5";#N/A,#N/A,FALSE,"FORM 6.6 ";#N/A,#N/A,FALSE,"FORM 6.7 ";#N/A,#N/A,FALSE,"FORM 6.8 ";#N/A,#N/A,FALSE,"FORM 6.9";#N/A,#N/A,FALSE,"FORM 6.10 ";#N/A,#N/A,FALSE,"FORM 6.11 ";#N/A,#N/A,FALSE,"FORM 6.12 ";#N/A,#N/A,FALSE,"FORM 6.13 ";#N/A,#N/A,FALSE,"FORM 6.14";#N/A,#N/A,FALSE,"FORM 6.15 ";#N/A,#N/A,FALSE,"FORM 6.16 ";#N/A,#N/A,FALSE,"FORM 6.17 ";#N/A,#N/A,FALSE,"FORM 6.18 ";#N/A,#N/A,FALSE,"FORM 6.19 ";#N/A,#N/A,FALSE,"FORM 6.20 ";#N/A,#N/A,FALSE,"FORM 6.21";#N/A,#N/A,FALSE,"FORM 6.22 ";#N/A,#N/A,FALSE,"FORM 6.23 ";#N/A,#N/A,FALSE,"FORM 6.24 ";#N/A,#N/A,FALSE,"FORM 6.25";#N/A,#N/A,FALSE,"FORM 6.26 ";#N/A,#N/A,FALSE,"FORM 6.27";#N/A,#N/A,FALSE,"FORM 6.28 ";#N/A,#N/A,FALSE,"FORM 6.29";#N/A,#N/A,FALSE,"FORM 6.30";#N/A,#N/A,FALSE,"FORM 6.31"}</definedName>
    <definedName name="wrn.ANNUAL._.ACCOUNTS._.FORM." localSheetId="11" hidden="1">{#N/A,#N/A,FALSE,"FORM 6.1 ";#N/A,#N/A,FALSE,"FORM 6.2";#N/A,#N/A,FALSE,"FORM 6.3";#N/A,#N/A,FALSE,"FORM 6.4";#N/A,#N/A,FALSE,"FORM 6.5";#N/A,#N/A,FALSE,"FORM 6.6 ";#N/A,#N/A,FALSE,"FORM 6.7 ";#N/A,#N/A,FALSE,"FORM 6.8 ";#N/A,#N/A,FALSE,"FORM 6.9";#N/A,#N/A,FALSE,"FORM 6.10 ";#N/A,#N/A,FALSE,"FORM 6.11 ";#N/A,#N/A,FALSE,"FORM 6.12 ";#N/A,#N/A,FALSE,"FORM 6.13 ";#N/A,#N/A,FALSE,"FORM 6.14";#N/A,#N/A,FALSE,"FORM 6.15 ";#N/A,#N/A,FALSE,"FORM 6.16 ";#N/A,#N/A,FALSE,"FORM 6.17 ";#N/A,#N/A,FALSE,"FORM 6.18 ";#N/A,#N/A,FALSE,"FORM 6.19 ";#N/A,#N/A,FALSE,"FORM 6.20 ";#N/A,#N/A,FALSE,"FORM 6.21";#N/A,#N/A,FALSE,"FORM 6.22 ";#N/A,#N/A,FALSE,"FORM 6.23 ";#N/A,#N/A,FALSE,"FORM 6.24 ";#N/A,#N/A,FALSE,"FORM 6.25";#N/A,#N/A,FALSE,"FORM 6.26 ";#N/A,#N/A,FALSE,"FORM 6.27";#N/A,#N/A,FALSE,"FORM 6.28 ";#N/A,#N/A,FALSE,"FORM 6.29";#N/A,#N/A,FALSE,"FORM 6.30";#N/A,#N/A,FALSE,"FORM 6.31"}</definedName>
    <definedName name="wrn.ANNUAL._.ACCOUNTS._.FORM." localSheetId="5" hidden="1">{#N/A,#N/A,FALSE,"FORM 6.1 ";#N/A,#N/A,FALSE,"FORM 6.2";#N/A,#N/A,FALSE,"FORM 6.3";#N/A,#N/A,FALSE,"FORM 6.4";#N/A,#N/A,FALSE,"FORM 6.5";#N/A,#N/A,FALSE,"FORM 6.6 ";#N/A,#N/A,FALSE,"FORM 6.7 ";#N/A,#N/A,FALSE,"FORM 6.8 ";#N/A,#N/A,FALSE,"FORM 6.9";#N/A,#N/A,FALSE,"FORM 6.10 ";#N/A,#N/A,FALSE,"FORM 6.11 ";#N/A,#N/A,FALSE,"FORM 6.12 ";#N/A,#N/A,FALSE,"FORM 6.13 ";#N/A,#N/A,FALSE,"FORM 6.14";#N/A,#N/A,FALSE,"FORM 6.15 ";#N/A,#N/A,FALSE,"FORM 6.16 ";#N/A,#N/A,FALSE,"FORM 6.17 ";#N/A,#N/A,FALSE,"FORM 6.18 ";#N/A,#N/A,FALSE,"FORM 6.19 ";#N/A,#N/A,FALSE,"FORM 6.20 ";#N/A,#N/A,FALSE,"FORM 6.21";#N/A,#N/A,FALSE,"FORM 6.22 ";#N/A,#N/A,FALSE,"FORM 6.23 ";#N/A,#N/A,FALSE,"FORM 6.24 ";#N/A,#N/A,FALSE,"FORM 6.25";#N/A,#N/A,FALSE,"FORM 6.26 ";#N/A,#N/A,FALSE,"FORM 6.27";#N/A,#N/A,FALSE,"FORM 6.28 ";#N/A,#N/A,FALSE,"FORM 6.29";#N/A,#N/A,FALSE,"FORM 6.30";#N/A,#N/A,FALSE,"FORM 6.31"}</definedName>
    <definedName name="wrn.ANNUAL._.ACCOUNTS._.FORM." localSheetId="4" hidden="1">{#N/A,#N/A,FALSE,"FORM 6.1 ";#N/A,#N/A,FALSE,"FORM 6.2";#N/A,#N/A,FALSE,"FORM 6.3";#N/A,#N/A,FALSE,"FORM 6.4";#N/A,#N/A,FALSE,"FORM 6.5";#N/A,#N/A,FALSE,"FORM 6.6 ";#N/A,#N/A,FALSE,"FORM 6.7 ";#N/A,#N/A,FALSE,"FORM 6.8 ";#N/A,#N/A,FALSE,"FORM 6.9";#N/A,#N/A,FALSE,"FORM 6.10 ";#N/A,#N/A,FALSE,"FORM 6.11 ";#N/A,#N/A,FALSE,"FORM 6.12 ";#N/A,#N/A,FALSE,"FORM 6.13 ";#N/A,#N/A,FALSE,"FORM 6.14";#N/A,#N/A,FALSE,"FORM 6.15 ";#N/A,#N/A,FALSE,"FORM 6.16 ";#N/A,#N/A,FALSE,"FORM 6.17 ";#N/A,#N/A,FALSE,"FORM 6.18 ";#N/A,#N/A,FALSE,"FORM 6.19 ";#N/A,#N/A,FALSE,"FORM 6.20 ";#N/A,#N/A,FALSE,"FORM 6.21";#N/A,#N/A,FALSE,"FORM 6.22 ";#N/A,#N/A,FALSE,"FORM 6.23 ";#N/A,#N/A,FALSE,"FORM 6.24 ";#N/A,#N/A,FALSE,"FORM 6.25";#N/A,#N/A,FALSE,"FORM 6.26 ";#N/A,#N/A,FALSE,"FORM 6.27";#N/A,#N/A,FALSE,"FORM 6.28 ";#N/A,#N/A,FALSE,"FORM 6.29";#N/A,#N/A,FALSE,"FORM 6.30";#N/A,#N/A,FALSE,"FORM 6.31"}</definedName>
    <definedName name="wrn.ANNUAL._.ACCOUNTS._.FORM." hidden="1">{#N/A,#N/A,FALSE,"FORM 6.1 ";#N/A,#N/A,FALSE,"FORM 6.2";#N/A,#N/A,FALSE,"FORM 6.3";#N/A,#N/A,FALSE,"FORM 6.4";#N/A,#N/A,FALSE,"FORM 6.5";#N/A,#N/A,FALSE,"FORM 6.6 ";#N/A,#N/A,FALSE,"FORM 6.7 ";#N/A,#N/A,FALSE,"FORM 6.8 ";#N/A,#N/A,FALSE,"FORM 6.9";#N/A,#N/A,FALSE,"FORM 6.10 ";#N/A,#N/A,FALSE,"FORM 6.11 ";#N/A,#N/A,FALSE,"FORM 6.12 ";#N/A,#N/A,FALSE,"FORM 6.13 ";#N/A,#N/A,FALSE,"FORM 6.14";#N/A,#N/A,FALSE,"FORM 6.15 ";#N/A,#N/A,FALSE,"FORM 6.16 ";#N/A,#N/A,FALSE,"FORM 6.17 ";#N/A,#N/A,FALSE,"FORM 6.18 ";#N/A,#N/A,FALSE,"FORM 6.19 ";#N/A,#N/A,FALSE,"FORM 6.20 ";#N/A,#N/A,FALSE,"FORM 6.21";#N/A,#N/A,FALSE,"FORM 6.22 ";#N/A,#N/A,FALSE,"FORM 6.23 ";#N/A,#N/A,FALSE,"FORM 6.24 ";#N/A,#N/A,FALSE,"FORM 6.25";#N/A,#N/A,FALSE,"FORM 6.26 ";#N/A,#N/A,FALSE,"FORM 6.27";#N/A,#N/A,FALSE,"FORM 6.28 ";#N/A,#N/A,FALSE,"FORM 6.29";#N/A,#N/A,FALSE,"FORM 6.30";#N/A,#N/A,FALSE,"FORM 6.31"}</definedName>
    <definedName name="wrn.aogt." localSheetId="3" hidden="1">{#N/A,#N/A,FALSE,"Res_Albatross";#N/A,#N/A,FALSE,"Bal_Albatross";#N/A,#N/A,FALSE,"Kont_Albatross";#N/A,#N/A,FALSE,"Note 1-5";#N/A,#N/A,FALSE,"Note 6-9";#N/A,#N/A,FALSE,"Bal_note10-14";#N/A,#N/A,FALSE,"Note 15-16";#N/A,#N/A,FALSE,"Note 17-19";#N/A,#N/A,FALSE,"Note 20-23";#N/A,#N/A,FALSE,"Nøkkeltall"}</definedName>
    <definedName name="wrn.aogt." localSheetId="6" hidden="1">{#N/A,#N/A,FALSE,"Res_Albatross";#N/A,#N/A,FALSE,"Bal_Albatross";#N/A,#N/A,FALSE,"Kont_Albatross";#N/A,#N/A,FALSE,"Note 1-5";#N/A,#N/A,FALSE,"Note 6-9";#N/A,#N/A,FALSE,"Bal_note10-14";#N/A,#N/A,FALSE,"Note 15-16";#N/A,#N/A,FALSE,"Note 17-19";#N/A,#N/A,FALSE,"Note 20-23";#N/A,#N/A,FALSE,"Nøkkeltall"}</definedName>
    <definedName name="wrn.aogt." localSheetId="7" hidden="1">{#N/A,#N/A,FALSE,"Res_Albatross";#N/A,#N/A,FALSE,"Bal_Albatross";#N/A,#N/A,FALSE,"Kont_Albatross";#N/A,#N/A,FALSE,"Note 1-5";#N/A,#N/A,FALSE,"Note 6-9";#N/A,#N/A,FALSE,"Bal_note10-14";#N/A,#N/A,FALSE,"Note 15-16";#N/A,#N/A,FALSE,"Note 17-19";#N/A,#N/A,FALSE,"Note 20-23";#N/A,#N/A,FALSE,"Nøkkeltall"}</definedName>
    <definedName name="wrn.aogt." localSheetId="10" hidden="1">{#N/A,#N/A,FALSE,"Res_Albatross";#N/A,#N/A,FALSE,"Bal_Albatross";#N/A,#N/A,FALSE,"Kont_Albatross";#N/A,#N/A,FALSE,"Note 1-5";#N/A,#N/A,FALSE,"Note 6-9";#N/A,#N/A,FALSE,"Bal_note10-14";#N/A,#N/A,FALSE,"Note 15-16";#N/A,#N/A,FALSE,"Note 17-19";#N/A,#N/A,FALSE,"Note 20-23";#N/A,#N/A,FALSE,"Nøkkeltall"}</definedName>
    <definedName name="wrn.aogt." localSheetId="11" hidden="1">{#N/A,#N/A,FALSE,"Res_Albatross";#N/A,#N/A,FALSE,"Bal_Albatross";#N/A,#N/A,FALSE,"Kont_Albatross";#N/A,#N/A,FALSE,"Note 1-5";#N/A,#N/A,FALSE,"Note 6-9";#N/A,#N/A,FALSE,"Bal_note10-14";#N/A,#N/A,FALSE,"Note 15-16";#N/A,#N/A,FALSE,"Note 17-19";#N/A,#N/A,FALSE,"Note 20-23";#N/A,#N/A,FALSE,"Nøkkeltall"}</definedName>
    <definedName name="wrn.aogt." localSheetId="5" hidden="1">{#N/A,#N/A,FALSE,"Res_Albatross";#N/A,#N/A,FALSE,"Bal_Albatross";#N/A,#N/A,FALSE,"Kont_Albatross";#N/A,#N/A,FALSE,"Note 1-5";#N/A,#N/A,FALSE,"Note 6-9";#N/A,#N/A,FALSE,"Bal_note10-14";#N/A,#N/A,FALSE,"Note 15-16";#N/A,#N/A,FALSE,"Note 17-19";#N/A,#N/A,FALSE,"Note 20-23";#N/A,#N/A,FALSE,"Nøkkeltall"}</definedName>
    <definedName name="wrn.aogt." localSheetId="4" hidden="1">{#N/A,#N/A,FALSE,"Res_Albatross";#N/A,#N/A,FALSE,"Bal_Albatross";#N/A,#N/A,FALSE,"Kont_Albatross";#N/A,#N/A,FALSE,"Note 1-5";#N/A,#N/A,FALSE,"Note 6-9";#N/A,#N/A,FALSE,"Bal_note10-14";#N/A,#N/A,FALSE,"Note 15-16";#N/A,#N/A,FALSE,"Note 17-19";#N/A,#N/A,FALSE,"Note 20-23";#N/A,#N/A,FALSE,"Nøkkeltall"}</definedName>
    <definedName name="wrn.aogt." hidden="1">{#N/A,#N/A,FALSE,"Res_Albatross";#N/A,#N/A,FALSE,"Bal_Albatross";#N/A,#N/A,FALSE,"Kont_Albatross";#N/A,#N/A,FALSE,"Note 1-5";#N/A,#N/A,FALSE,"Note 6-9";#N/A,#N/A,FALSE,"Bal_note10-14";#N/A,#N/A,FALSE,"Note 15-16";#N/A,#N/A,FALSE,"Note 17-19";#N/A,#N/A,FALSE,"Note 20-23";#N/A,#N/A,FALSE,"Nøkkeltall"}</definedName>
    <definedName name="wrn.AQUIROR._.DCF." localSheetId="3" hidden="1">{"AQUIRORDCF",#N/A,FALSE,"Merger consequences";"Acquirorassns",#N/A,FALSE,"Merger consequences"}</definedName>
    <definedName name="wrn.AQUIROR._.DCF." localSheetId="6" hidden="1">{"AQUIRORDCF",#N/A,FALSE,"Merger consequences";"Acquirorassns",#N/A,FALSE,"Merger consequences"}</definedName>
    <definedName name="wrn.AQUIROR._.DCF." localSheetId="7" hidden="1">{"AQUIRORDCF",#N/A,FALSE,"Merger consequences";"Acquirorassns",#N/A,FALSE,"Merger consequences"}</definedName>
    <definedName name="wrn.AQUIROR._.DCF." localSheetId="10" hidden="1">{"AQUIRORDCF",#N/A,FALSE,"Merger consequences";"Acquirorassns",#N/A,FALSE,"Merger consequences"}</definedName>
    <definedName name="wrn.AQUIROR._.DCF." localSheetId="11" hidden="1">{"AQUIRORDCF",#N/A,FALSE,"Merger consequences";"Acquirorassns",#N/A,FALSE,"Merger consequences"}</definedName>
    <definedName name="wrn.AQUIROR._.DCF." localSheetId="5" hidden="1">{"AQUIRORDCF",#N/A,FALSE,"Merger consequences";"Acquirorassns",#N/A,FALSE,"Merger consequences"}</definedName>
    <definedName name="wrn.AQUIROR._.DCF." localSheetId="4" hidden="1">{"AQUIRORDCF",#N/A,FALSE,"Merger consequences";"Acquirorassns",#N/A,FALSE,"Merger consequences"}</definedName>
    <definedName name="wrn.AQUIROR._.DCF." hidden="1">{"AQUIRORDCF",#N/A,FALSE,"Merger consequences";"Acquirorassns",#N/A,FALSE,"Merger consequences"}</definedName>
    <definedName name="wrn.Buildups." localSheetId="3" hidden="1">{"ACQ",#N/A,FALSE,"ACQUISITIONS";"ACQF",#N/A,FALSE,"ACQUISITIONS";"PF",#N/A,FALSE,"PROYECTOVILA";"PV",#N/A,FALSE,"PROYECTOVILA";"Fee Dev",#N/A,FALSE,"DEVELOPMENT GROWTH";"gd",#N/A,FALSE,"DEVELOPMENT GROWTH"}</definedName>
    <definedName name="wrn.Buildups." localSheetId="6" hidden="1">{"ACQ",#N/A,FALSE,"ACQUISITIONS";"ACQF",#N/A,FALSE,"ACQUISITIONS";"PF",#N/A,FALSE,"PROYECTOVILA";"PV",#N/A,FALSE,"PROYECTOVILA";"Fee Dev",#N/A,FALSE,"DEVELOPMENT GROWTH";"gd",#N/A,FALSE,"DEVELOPMENT GROWTH"}</definedName>
    <definedName name="wrn.Buildups." localSheetId="7" hidden="1">{"ACQ",#N/A,FALSE,"ACQUISITIONS";"ACQF",#N/A,FALSE,"ACQUISITIONS";"PF",#N/A,FALSE,"PROYECTOVILA";"PV",#N/A,FALSE,"PROYECTOVILA";"Fee Dev",#N/A,FALSE,"DEVELOPMENT GROWTH";"gd",#N/A,FALSE,"DEVELOPMENT GROWTH"}</definedName>
    <definedName name="wrn.Buildups." localSheetId="10" hidden="1">{"ACQ",#N/A,FALSE,"ACQUISITIONS";"ACQF",#N/A,FALSE,"ACQUISITIONS";"PF",#N/A,FALSE,"PROYECTOVILA";"PV",#N/A,FALSE,"PROYECTOVILA";"Fee Dev",#N/A,FALSE,"DEVELOPMENT GROWTH";"gd",#N/A,FALSE,"DEVELOPMENT GROWTH"}</definedName>
    <definedName name="wrn.Buildups." localSheetId="11" hidden="1">{"ACQ",#N/A,FALSE,"ACQUISITIONS";"ACQF",#N/A,FALSE,"ACQUISITIONS";"PF",#N/A,FALSE,"PROYECTOVILA";"PV",#N/A,FALSE,"PROYECTOVILA";"Fee Dev",#N/A,FALSE,"DEVELOPMENT GROWTH";"gd",#N/A,FALSE,"DEVELOPMENT GROWTH"}</definedName>
    <definedName name="wrn.Buildups." localSheetId="5" hidden="1">{"ACQ",#N/A,FALSE,"ACQUISITIONS";"ACQF",#N/A,FALSE,"ACQUISITIONS";"PF",#N/A,FALSE,"PROYECTOVILA";"PV",#N/A,FALSE,"PROYECTOVILA";"Fee Dev",#N/A,FALSE,"DEVELOPMENT GROWTH";"gd",#N/A,FALSE,"DEVELOPMENT GROWTH"}</definedName>
    <definedName name="wrn.Buildups." localSheetId="4" hidden="1">{"ACQ",#N/A,FALSE,"ACQUISITIONS";"ACQF",#N/A,FALSE,"ACQUISITIONS";"PF",#N/A,FALSE,"PROYECTOVILA";"PV",#N/A,FALSE,"PROYECTOVILA";"Fee Dev",#N/A,FALSE,"DEVELOPMENT GROWTH";"gd",#N/A,FALSE,"DEVELOPMENT GROWTH"}</definedName>
    <definedName name="wrn.Buildups." hidden="1">{"ACQ",#N/A,FALSE,"ACQUISITIONS";"ACQF",#N/A,FALSE,"ACQUISITIONS";"PF",#N/A,FALSE,"PROYECTOVILA";"PV",#N/A,FALSE,"PROYECTOVILA";"Fee Dev",#N/A,FALSE,"DEVELOPMENT GROWTH";"gd",#N/A,FALSE,"DEVELOPMENT GROWTH"}</definedName>
    <definedName name="wrn.CLOVES." localSheetId="3" hidden="1">{#N/A,#N/A,FALSE,"Plan1";#N/A,#N/A,FALSE,"Despesas Diversas por C.Custo"}</definedName>
    <definedName name="wrn.CLOVES." localSheetId="6" hidden="1">{#N/A,#N/A,FALSE,"Plan1";#N/A,#N/A,FALSE,"Despesas Diversas por C.Custo"}</definedName>
    <definedName name="wrn.CLOVES." localSheetId="7" hidden="1">{#N/A,#N/A,FALSE,"Plan1";#N/A,#N/A,FALSE,"Despesas Diversas por C.Custo"}</definedName>
    <definedName name="wrn.CLOVES." localSheetId="10" hidden="1">{#N/A,#N/A,FALSE,"Plan1";#N/A,#N/A,FALSE,"Despesas Diversas por C.Custo"}</definedName>
    <definedName name="wrn.CLOVES." localSheetId="11" hidden="1">{#N/A,#N/A,FALSE,"Plan1";#N/A,#N/A,FALSE,"Despesas Diversas por C.Custo"}</definedName>
    <definedName name="wrn.CLOVES." localSheetId="5" hidden="1">{#N/A,#N/A,FALSE,"Plan1";#N/A,#N/A,FALSE,"Despesas Diversas por C.Custo"}</definedName>
    <definedName name="wrn.CLOVES." localSheetId="4" hidden="1">{#N/A,#N/A,FALSE,"Plan1";#N/A,#N/A,FALSE,"Despesas Diversas por C.Custo"}</definedName>
    <definedName name="wrn.CLOVES." hidden="1">{#N/A,#N/A,FALSE,"Plan1";#N/A,#N/A,FALSE,"Despesas Diversas por C.Custo"}</definedName>
    <definedName name="wrn.comentario." localSheetId="3" hidden="1">{#N/A,#N/A,FALSE,"PCOL"}</definedName>
    <definedName name="wrn.comentario." localSheetId="6" hidden="1">{#N/A,#N/A,FALSE,"PCOL"}</definedName>
    <definedName name="wrn.comentario." localSheetId="7" hidden="1">{#N/A,#N/A,FALSE,"PCOL"}</definedName>
    <definedName name="wrn.comentario." localSheetId="10" hidden="1">{#N/A,#N/A,FALSE,"PCOL"}</definedName>
    <definedName name="wrn.comentario." localSheetId="11" hidden="1">{#N/A,#N/A,FALSE,"PCOL"}</definedName>
    <definedName name="wrn.comentario." localSheetId="5" hidden="1">{#N/A,#N/A,FALSE,"PCOL"}</definedName>
    <definedName name="wrn.comentario." localSheetId="4" hidden="1">{#N/A,#N/A,FALSE,"PCOL"}</definedName>
    <definedName name="wrn.comentario." hidden="1">{#N/A,#N/A,FALSE,"PCOL"}</definedName>
    <definedName name="wrn.Comparaison._.DMU." localSheetId="3" hidden="1">{#N/A,#N/A,FALSE,"General";#N/A,#N/A,FALSE,"DMU";#N/A,#N/A,FALSE,"Breakdown";#N/A,#N/A,FALSE,"Traction";#N/A,#N/A,FALSE,"Bogie &amp; Carbody";#N/A,#N/A,FALSE,"Auxiliaries";#N/A,#N/A,FALSE,"Braking";#N/A,#N/A,FALSE,"Electric";#N/A,#N/A,FALSE,"Comfort";#N/A,#N/A,FALSE,"Interiors";#N/A,#N/A,FALSE,"Exterior"}</definedName>
    <definedName name="wrn.Comparaison._.DMU." localSheetId="6" hidden="1">{#N/A,#N/A,FALSE,"General";#N/A,#N/A,FALSE,"DMU";#N/A,#N/A,FALSE,"Breakdown";#N/A,#N/A,FALSE,"Traction";#N/A,#N/A,FALSE,"Bogie &amp; Carbody";#N/A,#N/A,FALSE,"Auxiliaries";#N/A,#N/A,FALSE,"Braking";#N/A,#N/A,FALSE,"Electric";#N/A,#N/A,FALSE,"Comfort";#N/A,#N/A,FALSE,"Interiors";#N/A,#N/A,FALSE,"Exterior"}</definedName>
    <definedName name="wrn.Comparaison._.DMU." localSheetId="7" hidden="1">{#N/A,#N/A,FALSE,"General";#N/A,#N/A,FALSE,"DMU";#N/A,#N/A,FALSE,"Breakdown";#N/A,#N/A,FALSE,"Traction";#N/A,#N/A,FALSE,"Bogie &amp; Carbody";#N/A,#N/A,FALSE,"Auxiliaries";#N/A,#N/A,FALSE,"Braking";#N/A,#N/A,FALSE,"Electric";#N/A,#N/A,FALSE,"Comfort";#N/A,#N/A,FALSE,"Interiors";#N/A,#N/A,FALSE,"Exterior"}</definedName>
    <definedName name="wrn.Comparaison._.DMU." localSheetId="10" hidden="1">{#N/A,#N/A,FALSE,"General";#N/A,#N/A,FALSE,"DMU";#N/A,#N/A,FALSE,"Breakdown";#N/A,#N/A,FALSE,"Traction";#N/A,#N/A,FALSE,"Bogie &amp; Carbody";#N/A,#N/A,FALSE,"Auxiliaries";#N/A,#N/A,FALSE,"Braking";#N/A,#N/A,FALSE,"Electric";#N/A,#N/A,FALSE,"Comfort";#N/A,#N/A,FALSE,"Interiors";#N/A,#N/A,FALSE,"Exterior"}</definedName>
    <definedName name="wrn.Comparaison._.DMU." localSheetId="11" hidden="1">{#N/A,#N/A,FALSE,"General";#N/A,#N/A,FALSE,"DMU";#N/A,#N/A,FALSE,"Breakdown";#N/A,#N/A,FALSE,"Traction";#N/A,#N/A,FALSE,"Bogie &amp; Carbody";#N/A,#N/A,FALSE,"Auxiliaries";#N/A,#N/A,FALSE,"Braking";#N/A,#N/A,FALSE,"Electric";#N/A,#N/A,FALSE,"Comfort";#N/A,#N/A,FALSE,"Interiors";#N/A,#N/A,FALSE,"Exterior"}</definedName>
    <definedName name="wrn.Comparaison._.DMU." localSheetId="5" hidden="1">{#N/A,#N/A,FALSE,"General";#N/A,#N/A,FALSE,"DMU";#N/A,#N/A,FALSE,"Breakdown";#N/A,#N/A,FALSE,"Traction";#N/A,#N/A,FALSE,"Bogie &amp; Carbody";#N/A,#N/A,FALSE,"Auxiliaries";#N/A,#N/A,FALSE,"Braking";#N/A,#N/A,FALSE,"Electric";#N/A,#N/A,FALSE,"Comfort";#N/A,#N/A,FALSE,"Interiors";#N/A,#N/A,FALSE,"Exterior"}</definedName>
    <definedName name="wrn.Comparaison._.DMU." localSheetId="4" hidden="1">{#N/A,#N/A,FALSE,"General";#N/A,#N/A,FALSE,"DMU";#N/A,#N/A,FALSE,"Breakdown";#N/A,#N/A,FALSE,"Traction";#N/A,#N/A,FALSE,"Bogie &amp; Carbody";#N/A,#N/A,FALSE,"Auxiliaries";#N/A,#N/A,FALSE,"Braking";#N/A,#N/A,FALSE,"Electric";#N/A,#N/A,FALSE,"Comfort";#N/A,#N/A,FALSE,"Interiors";#N/A,#N/A,FALSE,"Exterior"}</definedName>
    <definedName name="wrn.Comparaison._.DMU." hidden="1">{#N/A,#N/A,FALSE,"General";#N/A,#N/A,FALSE,"DMU";#N/A,#N/A,FALSE,"Breakdown";#N/A,#N/A,FALSE,"Traction";#N/A,#N/A,FALSE,"Bogie &amp; Carbody";#N/A,#N/A,FALSE,"Auxiliaries";#N/A,#N/A,FALSE,"Braking";#N/A,#N/A,FALSE,"Electric";#N/A,#N/A,FALSE,"Comfort";#N/A,#N/A,FALSE,"Interiors";#N/A,#N/A,FALSE,"Exterior"}</definedName>
    <definedName name="wrn.COMPCO." localSheetId="3" hidden="1">{"Page1",#N/A,FALSE,"CompCo";"Page2",#N/A,FALSE,"CompCo"}</definedName>
    <definedName name="wrn.COMPCO." localSheetId="6" hidden="1">{"Page1",#N/A,FALSE,"CompCo";"Page2",#N/A,FALSE,"CompCo"}</definedName>
    <definedName name="wrn.COMPCO." localSheetId="7" hidden="1">{"Page1",#N/A,FALSE,"CompCo";"Page2",#N/A,FALSE,"CompCo"}</definedName>
    <definedName name="wrn.COMPCO." localSheetId="10" hidden="1">{"Page1",#N/A,FALSE,"CompCo";"Page2",#N/A,FALSE,"CompCo"}</definedName>
    <definedName name="wrn.COMPCO." localSheetId="11" hidden="1">{"Page1",#N/A,FALSE,"CompCo";"Page2",#N/A,FALSE,"CompCo"}</definedName>
    <definedName name="wrn.COMPCO." localSheetId="5" hidden="1">{"Page1",#N/A,FALSE,"CompCo";"Page2",#N/A,FALSE,"CompCo"}</definedName>
    <definedName name="wrn.COMPCO." localSheetId="4" hidden="1">{"Page1",#N/A,FALSE,"CompCo";"Page2",#N/A,FALSE,"CompCo"}</definedName>
    <definedName name="wrn.COMPCO." hidden="1">{"Page1",#N/A,FALSE,"CompCo";"Page2",#N/A,FALSE,"CompCo"}</definedName>
    <definedName name="wrn.COMPLETA." localSheetId="3" hidden="1">{"IMD AUTOPISTAS",#N/A,FALSE,"IMD 00-01 e incrs por autop.";"CURVAS IMD CONCESION",#N/A,FALSE,"IMD 00-01 e incrs por autop.";"TAM",#N/A,FALSE,"Crecimiento IMD 99-01 mes-acum";"IMD ASETA",#N/A,FALSE,"IMD ASETA- crecs. mens-acums.";"INGRESOS",#N/A,FALSE,"GRÁFICO"}</definedName>
    <definedName name="wrn.COMPLETA." localSheetId="6" hidden="1">{"IMD AUTOPISTAS",#N/A,FALSE,"IMD 00-01 e incrs por autop.";"CURVAS IMD CONCESION",#N/A,FALSE,"IMD 00-01 e incrs por autop.";"TAM",#N/A,FALSE,"Crecimiento IMD 99-01 mes-acum";"IMD ASETA",#N/A,FALSE,"IMD ASETA- crecs. mens-acums.";"INGRESOS",#N/A,FALSE,"GRÁFICO"}</definedName>
    <definedName name="wrn.COMPLETA." localSheetId="7" hidden="1">{"IMD AUTOPISTAS",#N/A,FALSE,"IMD 00-01 e incrs por autop.";"CURVAS IMD CONCESION",#N/A,FALSE,"IMD 00-01 e incrs por autop.";"TAM",#N/A,FALSE,"Crecimiento IMD 99-01 mes-acum";"IMD ASETA",#N/A,FALSE,"IMD ASETA- crecs. mens-acums.";"INGRESOS",#N/A,FALSE,"GRÁFICO"}</definedName>
    <definedName name="wrn.COMPLETA." localSheetId="10" hidden="1">{"IMD AUTOPISTAS",#N/A,FALSE,"IMD 00-01 e incrs por autop.";"CURVAS IMD CONCESION",#N/A,FALSE,"IMD 00-01 e incrs por autop.";"TAM",#N/A,FALSE,"Crecimiento IMD 99-01 mes-acum";"IMD ASETA",#N/A,FALSE,"IMD ASETA- crecs. mens-acums.";"INGRESOS",#N/A,FALSE,"GRÁFICO"}</definedName>
    <definedName name="wrn.COMPLETA." localSheetId="11" hidden="1">{"IMD AUTOPISTAS",#N/A,FALSE,"IMD 00-01 e incrs por autop.";"CURVAS IMD CONCESION",#N/A,FALSE,"IMD 00-01 e incrs por autop.";"TAM",#N/A,FALSE,"Crecimiento IMD 99-01 mes-acum";"IMD ASETA",#N/A,FALSE,"IMD ASETA- crecs. mens-acums.";"INGRESOS",#N/A,FALSE,"GRÁFICO"}</definedName>
    <definedName name="wrn.COMPLETA." localSheetId="5" hidden="1">{"IMD AUTOPISTAS",#N/A,FALSE,"IMD 00-01 e incrs por autop.";"CURVAS IMD CONCESION",#N/A,FALSE,"IMD 00-01 e incrs por autop.";"TAM",#N/A,FALSE,"Crecimiento IMD 99-01 mes-acum";"IMD ASETA",#N/A,FALSE,"IMD ASETA- crecs. mens-acums.";"INGRESOS",#N/A,FALSE,"GRÁFICO"}</definedName>
    <definedName name="wrn.COMPLETA." localSheetId="4" hidden="1">{"IMD AUTOPISTAS",#N/A,FALSE,"IMD 00-01 e incrs por autop.";"CURVAS IMD CONCESION",#N/A,FALSE,"IMD 00-01 e incrs por autop.";"TAM",#N/A,FALSE,"Crecimiento IMD 99-01 mes-acum";"IMD ASETA",#N/A,FALSE,"IMD ASETA- crecs. mens-acums.";"INGRESOS",#N/A,FALSE,"GRÁFICO"}</definedName>
    <definedName name="wrn.COMPLETA." hidden="1">{"IMD AUTOPISTAS",#N/A,FALSE,"IMD 00-01 e incrs por autop.";"CURVAS IMD CONCESION",#N/A,FALSE,"IMD 00-01 e incrs por autop.";"TAM",#N/A,FALSE,"Crecimiento IMD 99-01 mes-acum";"IMD ASETA",#N/A,FALSE,"IMD ASETA- crecs. mens-acums.";"INGRESOS",#N/A,FALSE,"GRÁFICO"}</definedName>
    <definedName name="wrn.CONSELL." localSheetId="3" hidden="1">{#N/A,#N/A,FALSE,"trafmes PROPOSTA";#N/A,#N/A,FALSE,"trafacum PROPOSTA";#N/A,#N/A,FALSE,"grafimd";#N/A,#N/A,FALSE,"grafimdmes";#N/A,#N/A,FALSE,"grafimdperiodo";#N/A,#N/A,FALSE,"dtamgrafic (1)";#N/A,#N/A,FALSE,"dtamgrafic (2)";#N/A,#N/A,FALSE,"ingmes";#N/A,#N/A,FALSE,"ingacum";#N/A,#N/A,FALSE,"asetapantalla"}</definedName>
    <definedName name="wrn.CONSELL." localSheetId="6" hidden="1">{#N/A,#N/A,FALSE,"trafmes PROPOSTA";#N/A,#N/A,FALSE,"trafacum PROPOSTA";#N/A,#N/A,FALSE,"grafimd";#N/A,#N/A,FALSE,"grafimdmes";#N/A,#N/A,FALSE,"grafimdperiodo";#N/A,#N/A,FALSE,"dtamgrafic (1)";#N/A,#N/A,FALSE,"dtamgrafic (2)";#N/A,#N/A,FALSE,"ingmes";#N/A,#N/A,FALSE,"ingacum";#N/A,#N/A,FALSE,"asetapantalla"}</definedName>
    <definedName name="wrn.CONSELL." localSheetId="7" hidden="1">{#N/A,#N/A,FALSE,"trafmes PROPOSTA";#N/A,#N/A,FALSE,"trafacum PROPOSTA";#N/A,#N/A,FALSE,"grafimd";#N/A,#N/A,FALSE,"grafimdmes";#N/A,#N/A,FALSE,"grafimdperiodo";#N/A,#N/A,FALSE,"dtamgrafic (1)";#N/A,#N/A,FALSE,"dtamgrafic (2)";#N/A,#N/A,FALSE,"ingmes";#N/A,#N/A,FALSE,"ingacum";#N/A,#N/A,FALSE,"asetapantalla"}</definedName>
    <definedName name="wrn.CONSELL." localSheetId="10" hidden="1">{#N/A,#N/A,FALSE,"trafmes PROPOSTA";#N/A,#N/A,FALSE,"trafacum PROPOSTA";#N/A,#N/A,FALSE,"grafimd";#N/A,#N/A,FALSE,"grafimdmes";#N/A,#N/A,FALSE,"grafimdperiodo";#N/A,#N/A,FALSE,"dtamgrafic (1)";#N/A,#N/A,FALSE,"dtamgrafic (2)";#N/A,#N/A,FALSE,"ingmes";#N/A,#N/A,FALSE,"ingacum";#N/A,#N/A,FALSE,"asetapantalla"}</definedName>
    <definedName name="wrn.CONSELL." localSheetId="11" hidden="1">{#N/A,#N/A,FALSE,"trafmes PROPOSTA";#N/A,#N/A,FALSE,"trafacum PROPOSTA";#N/A,#N/A,FALSE,"grafimd";#N/A,#N/A,FALSE,"grafimdmes";#N/A,#N/A,FALSE,"grafimdperiodo";#N/A,#N/A,FALSE,"dtamgrafic (1)";#N/A,#N/A,FALSE,"dtamgrafic (2)";#N/A,#N/A,FALSE,"ingmes";#N/A,#N/A,FALSE,"ingacum";#N/A,#N/A,FALSE,"asetapantalla"}</definedName>
    <definedName name="wrn.CONSELL." localSheetId="5" hidden="1">{#N/A,#N/A,FALSE,"trafmes PROPOSTA";#N/A,#N/A,FALSE,"trafacum PROPOSTA";#N/A,#N/A,FALSE,"grafimd";#N/A,#N/A,FALSE,"grafimdmes";#N/A,#N/A,FALSE,"grafimdperiodo";#N/A,#N/A,FALSE,"dtamgrafic (1)";#N/A,#N/A,FALSE,"dtamgrafic (2)";#N/A,#N/A,FALSE,"ingmes";#N/A,#N/A,FALSE,"ingacum";#N/A,#N/A,FALSE,"asetapantalla"}</definedName>
    <definedName name="wrn.CONSELL." localSheetId="4" hidden="1">{#N/A,#N/A,FALSE,"trafmes PROPOSTA";#N/A,#N/A,FALSE,"trafacum PROPOSTA";#N/A,#N/A,FALSE,"grafimd";#N/A,#N/A,FALSE,"grafimdmes";#N/A,#N/A,FALSE,"grafimdperiodo";#N/A,#N/A,FALSE,"dtamgrafic (1)";#N/A,#N/A,FALSE,"dtamgrafic (2)";#N/A,#N/A,FALSE,"ingmes";#N/A,#N/A,FALSE,"ingacum";#N/A,#N/A,FALSE,"asetapantalla"}</definedName>
    <definedName name="wrn.CONSELL." hidden="1">{#N/A,#N/A,FALSE,"trafmes PROPOSTA";#N/A,#N/A,FALSE,"trafacum PROPOSTA";#N/A,#N/A,FALSE,"grafimd";#N/A,#N/A,FALSE,"grafimdmes";#N/A,#N/A,FALSE,"grafimdperiodo";#N/A,#N/A,FALSE,"dtamgrafic (1)";#N/A,#N/A,FALSE,"dtamgrafic (2)";#N/A,#N/A,FALSE,"ingmes";#N/A,#N/A,FALSE,"ingacum";#N/A,#N/A,FALSE,"asetapantalla"}</definedName>
    <definedName name="wrn.DCF_Terminal_Value_qchm." localSheetId="3" hidden="1">{"qchm_dcf",#N/A,FALSE,"QCHMDCF2";"qchm_terminal",#N/A,FALSE,"QCHMDCF2"}</definedName>
    <definedName name="wrn.DCF_Terminal_Value_qchm." localSheetId="6" hidden="1">{"qchm_dcf",#N/A,FALSE,"QCHMDCF2";"qchm_terminal",#N/A,FALSE,"QCHMDCF2"}</definedName>
    <definedName name="wrn.DCF_Terminal_Value_qchm." localSheetId="7" hidden="1">{"qchm_dcf",#N/A,FALSE,"QCHMDCF2";"qchm_terminal",#N/A,FALSE,"QCHMDCF2"}</definedName>
    <definedName name="wrn.DCF_Terminal_Value_qchm." localSheetId="10" hidden="1">{"qchm_dcf",#N/A,FALSE,"QCHMDCF2";"qchm_terminal",#N/A,FALSE,"QCHMDCF2"}</definedName>
    <definedName name="wrn.DCF_Terminal_Value_qchm." localSheetId="11" hidden="1">{"qchm_dcf",#N/A,FALSE,"QCHMDCF2";"qchm_terminal",#N/A,FALSE,"QCHMDCF2"}</definedName>
    <definedName name="wrn.DCF_Terminal_Value_qchm." localSheetId="5" hidden="1">{"qchm_dcf",#N/A,FALSE,"QCHMDCF2";"qchm_terminal",#N/A,FALSE,"QCHMDCF2"}</definedName>
    <definedName name="wrn.DCF_Terminal_Value_qchm." localSheetId="4" hidden="1">{"qchm_dcf",#N/A,FALSE,"QCHMDCF2";"qchm_terminal",#N/A,FALSE,"QCHMDCF2"}</definedName>
    <definedName name="wrn.DCF_Terminal_Value_qchm." hidden="1">{"qchm_dcf",#N/A,FALSE,"QCHMDCF2";"qchm_terminal",#N/A,FALSE,"QCHMDCF2"}</definedName>
    <definedName name="wrn.ddd" localSheetId="3" hidden="1">{#N/A,#N/A,TRUE,"forside";#N/A,#N/A,TRUE,"Res_AOGT";#N/A,#N/A,TRUE,"Bal_AOGT";#N/A,#N/A,TRUE,"Kont_AOGT";#N/A,#N/A,TRUE,"Note 1-5";#N/A,#N/A,TRUE,"Note 6-9";#N/A,#N/A,TRUE,"Bal_note10-14";#N/A,#N/A,TRUE,"Note 15-16";#N/A,#N/A,TRUE,"Note 17-19";#N/A,#N/A,TRUE,"Note 19 forts.";#N/A,#N/A,TRUE,"Note 20-23";#N/A,#N/A,TRUE,"Nøkkeltall"}</definedName>
    <definedName name="wrn.ddd" localSheetId="6" hidden="1">{#N/A,#N/A,TRUE,"forside";#N/A,#N/A,TRUE,"Res_AOGT";#N/A,#N/A,TRUE,"Bal_AOGT";#N/A,#N/A,TRUE,"Kont_AOGT";#N/A,#N/A,TRUE,"Note 1-5";#N/A,#N/A,TRUE,"Note 6-9";#N/A,#N/A,TRUE,"Bal_note10-14";#N/A,#N/A,TRUE,"Note 15-16";#N/A,#N/A,TRUE,"Note 17-19";#N/A,#N/A,TRUE,"Note 19 forts.";#N/A,#N/A,TRUE,"Note 20-23";#N/A,#N/A,TRUE,"Nøkkeltall"}</definedName>
    <definedName name="wrn.ddd" localSheetId="7" hidden="1">{#N/A,#N/A,TRUE,"forside";#N/A,#N/A,TRUE,"Res_AOGT";#N/A,#N/A,TRUE,"Bal_AOGT";#N/A,#N/A,TRUE,"Kont_AOGT";#N/A,#N/A,TRUE,"Note 1-5";#N/A,#N/A,TRUE,"Note 6-9";#N/A,#N/A,TRUE,"Bal_note10-14";#N/A,#N/A,TRUE,"Note 15-16";#N/A,#N/A,TRUE,"Note 17-19";#N/A,#N/A,TRUE,"Note 19 forts.";#N/A,#N/A,TRUE,"Note 20-23";#N/A,#N/A,TRUE,"Nøkkeltall"}</definedName>
    <definedName name="wrn.ddd" localSheetId="10" hidden="1">{#N/A,#N/A,TRUE,"forside";#N/A,#N/A,TRUE,"Res_AOGT";#N/A,#N/A,TRUE,"Bal_AOGT";#N/A,#N/A,TRUE,"Kont_AOGT";#N/A,#N/A,TRUE,"Note 1-5";#N/A,#N/A,TRUE,"Note 6-9";#N/A,#N/A,TRUE,"Bal_note10-14";#N/A,#N/A,TRUE,"Note 15-16";#N/A,#N/A,TRUE,"Note 17-19";#N/A,#N/A,TRUE,"Note 19 forts.";#N/A,#N/A,TRUE,"Note 20-23";#N/A,#N/A,TRUE,"Nøkkeltall"}</definedName>
    <definedName name="wrn.ddd" localSheetId="11" hidden="1">{#N/A,#N/A,TRUE,"forside";#N/A,#N/A,TRUE,"Res_AOGT";#N/A,#N/A,TRUE,"Bal_AOGT";#N/A,#N/A,TRUE,"Kont_AOGT";#N/A,#N/A,TRUE,"Note 1-5";#N/A,#N/A,TRUE,"Note 6-9";#N/A,#N/A,TRUE,"Bal_note10-14";#N/A,#N/A,TRUE,"Note 15-16";#N/A,#N/A,TRUE,"Note 17-19";#N/A,#N/A,TRUE,"Note 19 forts.";#N/A,#N/A,TRUE,"Note 20-23";#N/A,#N/A,TRUE,"Nøkkeltall"}</definedName>
    <definedName name="wrn.ddd" localSheetId="5" hidden="1">{#N/A,#N/A,TRUE,"forside";#N/A,#N/A,TRUE,"Res_AOGT";#N/A,#N/A,TRUE,"Bal_AOGT";#N/A,#N/A,TRUE,"Kont_AOGT";#N/A,#N/A,TRUE,"Note 1-5";#N/A,#N/A,TRUE,"Note 6-9";#N/A,#N/A,TRUE,"Bal_note10-14";#N/A,#N/A,TRUE,"Note 15-16";#N/A,#N/A,TRUE,"Note 17-19";#N/A,#N/A,TRUE,"Note 19 forts.";#N/A,#N/A,TRUE,"Note 20-23";#N/A,#N/A,TRUE,"Nøkkeltall"}</definedName>
    <definedName name="wrn.ddd" localSheetId="4" hidden="1">{#N/A,#N/A,TRUE,"forside";#N/A,#N/A,TRUE,"Res_AOGT";#N/A,#N/A,TRUE,"Bal_AOGT";#N/A,#N/A,TRUE,"Kont_AOGT";#N/A,#N/A,TRUE,"Note 1-5";#N/A,#N/A,TRUE,"Note 6-9";#N/A,#N/A,TRUE,"Bal_note10-14";#N/A,#N/A,TRUE,"Note 15-16";#N/A,#N/A,TRUE,"Note 17-19";#N/A,#N/A,TRUE,"Note 19 forts.";#N/A,#N/A,TRUE,"Note 20-23";#N/A,#N/A,TRUE,"Nøkkeltall"}</definedName>
    <definedName name="wrn.ddd" hidden="1">{#N/A,#N/A,TRUE,"forside";#N/A,#N/A,TRUE,"Res_AOGT";#N/A,#N/A,TRUE,"Bal_AOGT";#N/A,#N/A,TRUE,"Kont_AOGT";#N/A,#N/A,TRUE,"Note 1-5";#N/A,#N/A,TRUE,"Note 6-9";#N/A,#N/A,TRUE,"Bal_note10-14";#N/A,#N/A,TRUE,"Note 15-16";#N/A,#N/A,TRUE,"Note 17-19";#N/A,#N/A,TRUE,"Note 19 forts.";#N/A,#N/A,TRUE,"Note 20-23";#N/A,#N/A,TRUE,"Nøkkeltall"}</definedName>
    <definedName name="wrn.def9806." localSheetId="3" hidden="1">{#N/A,#N/A,FALSE,"DEF1";#N/A,#N/A,FALSE,"DEF2";#N/A,#N/A,FALSE,"DEF3"}</definedName>
    <definedName name="wrn.def9806." localSheetId="6" hidden="1">{#N/A,#N/A,FALSE,"DEF1";#N/A,#N/A,FALSE,"DEF2";#N/A,#N/A,FALSE,"DEF3"}</definedName>
    <definedName name="wrn.def9806." localSheetId="7" hidden="1">{#N/A,#N/A,FALSE,"DEF1";#N/A,#N/A,FALSE,"DEF2";#N/A,#N/A,FALSE,"DEF3"}</definedName>
    <definedName name="wrn.def9806." localSheetId="10" hidden="1">{#N/A,#N/A,FALSE,"DEF1";#N/A,#N/A,FALSE,"DEF2";#N/A,#N/A,FALSE,"DEF3"}</definedName>
    <definedName name="wrn.def9806." localSheetId="11" hidden="1">{#N/A,#N/A,FALSE,"DEF1";#N/A,#N/A,FALSE,"DEF2";#N/A,#N/A,FALSE,"DEF3"}</definedName>
    <definedName name="wrn.def9806." localSheetId="5" hidden="1">{#N/A,#N/A,FALSE,"DEF1";#N/A,#N/A,FALSE,"DEF2";#N/A,#N/A,FALSE,"DEF3"}</definedName>
    <definedName name="wrn.def9806." localSheetId="4" hidden="1">{#N/A,#N/A,FALSE,"DEF1";#N/A,#N/A,FALSE,"DEF2";#N/A,#N/A,FALSE,"DEF3"}</definedName>
    <definedName name="wrn.def9806." hidden="1">{#N/A,#N/A,FALSE,"DEF1";#N/A,#N/A,FALSE,"DEF2";#N/A,#N/A,FALSE,"DEF3"}</definedName>
    <definedName name="wrn.Demonstrações._.Financeiras." localSheetId="3" hidden="1">{#N/A,#N/A,FALSE,"31 - Balanço";#N/A,#N/A,FALSE,"41 - Resultado";#N/A,#N/A,FALSE,"51 - Fluxo de Caixa"}</definedName>
    <definedName name="wrn.Demonstrações._.Financeiras." localSheetId="6" hidden="1">{#N/A,#N/A,FALSE,"31 - Balanço";#N/A,#N/A,FALSE,"41 - Resultado";#N/A,#N/A,FALSE,"51 - Fluxo de Caixa"}</definedName>
    <definedName name="wrn.Demonstrações._.Financeiras." localSheetId="7" hidden="1">{#N/A,#N/A,FALSE,"31 - Balanço";#N/A,#N/A,FALSE,"41 - Resultado";#N/A,#N/A,FALSE,"51 - Fluxo de Caixa"}</definedName>
    <definedName name="wrn.Demonstrações._.Financeiras." localSheetId="10" hidden="1">{#N/A,#N/A,FALSE,"31 - Balanço";#N/A,#N/A,FALSE,"41 - Resultado";#N/A,#N/A,FALSE,"51 - Fluxo de Caixa"}</definedName>
    <definedName name="wrn.Demonstrações._.Financeiras." localSheetId="11" hidden="1">{#N/A,#N/A,FALSE,"31 - Balanço";#N/A,#N/A,FALSE,"41 - Resultado";#N/A,#N/A,FALSE,"51 - Fluxo de Caixa"}</definedName>
    <definedName name="wrn.Demonstrações._.Financeiras." localSheetId="5" hidden="1">{#N/A,#N/A,FALSE,"31 - Balanço";#N/A,#N/A,FALSE,"41 - Resultado";#N/A,#N/A,FALSE,"51 - Fluxo de Caixa"}</definedName>
    <definedName name="wrn.Demonstrações._.Financeiras." localSheetId="4" hidden="1">{#N/A,#N/A,FALSE,"31 - Balanço";#N/A,#N/A,FALSE,"41 - Resultado";#N/A,#N/A,FALSE,"51 - Fluxo de Caixa"}</definedName>
    <definedName name="wrn.Demonstrações._.Financeiras." hidden="1">{#N/A,#N/A,FALSE,"31 - Balanço";#N/A,#N/A,FALSE,"41 - Resultado";#N/A,#N/A,FALSE,"51 - Fluxo de Caixa"}</definedName>
    <definedName name="wrn.EKSKL.._.PM._.FORM." localSheetId="3" hidden="1">{#N/A,#N/A,TRUE,"Skjema 6.18 ";#N/A,#N/A,TRUE,"Skjema 6.19 ";#N/A,#N/A,TRUE,"Skjema 6.20 ";#N/A,#N/A,TRUE,"Skjema 6.21";#N/A,#N/A,TRUE,"Skjema 6.22 ";#N/A,#N/A,TRUE,"Skjema 6.23 ";#N/A,#N/A,TRUE,"Skjema 6.24 ";#N/A,#N/A,TRUE,"Skjema 6.25";#N/A,#N/A,TRUE,"Skjema 6.26 ";#N/A,#N/A,TRUE,"Skjema 6.27";#N/A,#N/A,TRUE,"Skjema 6.28 ";#N/A,#N/A,TRUE,"Skjema 6.29";#N/A,#N/A,TRUE,"Skjema 6.30"}</definedName>
    <definedName name="wrn.EKSKL.._.PM._.FORM." localSheetId="6" hidden="1">{#N/A,#N/A,TRUE,"Skjema 6.18 ";#N/A,#N/A,TRUE,"Skjema 6.19 ";#N/A,#N/A,TRUE,"Skjema 6.20 ";#N/A,#N/A,TRUE,"Skjema 6.21";#N/A,#N/A,TRUE,"Skjema 6.22 ";#N/A,#N/A,TRUE,"Skjema 6.23 ";#N/A,#N/A,TRUE,"Skjema 6.24 ";#N/A,#N/A,TRUE,"Skjema 6.25";#N/A,#N/A,TRUE,"Skjema 6.26 ";#N/A,#N/A,TRUE,"Skjema 6.27";#N/A,#N/A,TRUE,"Skjema 6.28 ";#N/A,#N/A,TRUE,"Skjema 6.29";#N/A,#N/A,TRUE,"Skjema 6.30"}</definedName>
    <definedName name="wrn.EKSKL.._.PM._.FORM." localSheetId="7" hidden="1">{#N/A,#N/A,TRUE,"Skjema 6.18 ";#N/A,#N/A,TRUE,"Skjema 6.19 ";#N/A,#N/A,TRUE,"Skjema 6.20 ";#N/A,#N/A,TRUE,"Skjema 6.21";#N/A,#N/A,TRUE,"Skjema 6.22 ";#N/A,#N/A,TRUE,"Skjema 6.23 ";#N/A,#N/A,TRUE,"Skjema 6.24 ";#N/A,#N/A,TRUE,"Skjema 6.25";#N/A,#N/A,TRUE,"Skjema 6.26 ";#N/A,#N/A,TRUE,"Skjema 6.27";#N/A,#N/A,TRUE,"Skjema 6.28 ";#N/A,#N/A,TRUE,"Skjema 6.29";#N/A,#N/A,TRUE,"Skjema 6.30"}</definedName>
    <definedName name="wrn.EKSKL.._.PM._.FORM." localSheetId="10" hidden="1">{#N/A,#N/A,TRUE,"Skjema 6.18 ";#N/A,#N/A,TRUE,"Skjema 6.19 ";#N/A,#N/A,TRUE,"Skjema 6.20 ";#N/A,#N/A,TRUE,"Skjema 6.21";#N/A,#N/A,TRUE,"Skjema 6.22 ";#N/A,#N/A,TRUE,"Skjema 6.23 ";#N/A,#N/A,TRUE,"Skjema 6.24 ";#N/A,#N/A,TRUE,"Skjema 6.25";#N/A,#N/A,TRUE,"Skjema 6.26 ";#N/A,#N/A,TRUE,"Skjema 6.27";#N/A,#N/A,TRUE,"Skjema 6.28 ";#N/A,#N/A,TRUE,"Skjema 6.29";#N/A,#N/A,TRUE,"Skjema 6.30"}</definedName>
    <definedName name="wrn.EKSKL.._.PM._.FORM." localSheetId="11" hidden="1">{#N/A,#N/A,TRUE,"Skjema 6.18 ";#N/A,#N/A,TRUE,"Skjema 6.19 ";#N/A,#N/A,TRUE,"Skjema 6.20 ";#N/A,#N/A,TRUE,"Skjema 6.21";#N/A,#N/A,TRUE,"Skjema 6.22 ";#N/A,#N/A,TRUE,"Skjema 6.23 ";#N/A,#N/A,TRUE,"Skjema 6.24 ";#N/A,#N/A,TRUE,"Skjema 6.25";#N/A,#N/A,TRUE,"Skjema 6.26 ";#N/A,#N/A,TRUE,"Skjema 6.27";#N/A,#N/A,TRUE,"Skjema 6.28 ";#N/A,#N/A,TRUE,"Skjema 6.29";#N/A,#N/A,TRUE,"Skjema 6.30"}</definedName>
    <definedName name="wrn.EKSKL.._.PM._.FORM." localSheetId="5" hidden="1">{#N/A,#N/A,TRUE,"Skjema 6.18 ";#N/A,#N/A,TRUE,"Skjema 6.19 ";#N/A,#N/A,TRUE,"Skjema 6.20 ";#N/A,#N/A,TRUE,"Skjema 6.21";#N/A,#N/A,TRUE,"Skjema 6.22 ";#N/A,#N/A,TRUE,"Skjema 6.23 ";#N/A,#N/A,TRUE,"Skjema 6.24 ";#N/A,#N/A,TRUE,"Skjema 6.25";#N/A,#N/A,TRUE,"Skjema 6.26 ";#N/A,#N/A,TRUE,"Skjema 6.27";#N/A,#N/A,TRUE,"Skjema 6.28 ";#N/A,#N/A,TRUE,"Skjema 6.29";#N/A,#N/A,TRUE,"Skjema 6.30"}</definedName>
    <definedName name="wrn.EKSKL.._.PM._.FORM." localSheetId="4" hidden="1">{#N/A,#N/A,TRUE,"Skjema 6.18 ";#N/A,#N/A,TRUE,"Skjema 6.19 ";#N/A,#N/A,TRUE,"Skjema 6.20 ";#N/A,#N/A,TRUE,"Skjema 6.21";#N/A,#N/A,TRUE,"Skjema 6.22 ";#N/A,#N/A,TRUE,"Skjema 6.23 ";#N/A,#N/A,TRUE,"Skjema 6.24 ";#N/A,#N/A,TRUE,"Skjema 6.25";#N/A,#N/A,TRUE,"Skjema 6.26 ";#N/A,#N/A,TRUE,"Skjema 6.27";#N/A,#N/A,TRUE,"Skjema 6.28 ";#N/A,#N/A,TRUE,"Skjema 6.29";#N/A,#N/A,TRUE,"Skjema 6.30"}</definedName>
    <definedName name="wrn.EKSKL.._.PM._.FORM." hidden="1">{#N/A,#N/A,TRUE,"Skjema 6.18 ";#N/A,#N/A,TRUE,"Skjema 6.19 ";#N/A,#N/A,TRUE,"Skjema 6.20 ";#N/A,#N/A,TRUE,"Skjema 6.21";#N/A,#N/A,TRUE,"Skjema 6.22 ";#N/A,#N/A,TRUE,"Skjema 6.23 ";#N/A,#N/A,TRUE,"Skjema 6.24 ";#N/A,#N/A,TRUE,"Skjema 6.25";#N/A,#N/A,TRUE,"Skjema 6.26 ";#N/A,#N/A,TRUE,"Skjema 6.27";#N/A,#N/A,TRUE,"Skjema 6.28 ";#N/A,#N/A,TRUE,"Skjema 6.29";#N/A,#N/A,TRUE,"Skjema 6.30"}</definedName>
    <definedName name="wrn.EKSKL.._.PM._.SKJEMAER." localSheetId="3" hidden="1">{#N/A,#N/A,TRUE,"Skjema 6.5";#N/A,#N/A,TRUE,"Skjema 6.18 ";#N/A,#N/A,TRUE,"Skjema 6.19 ";#N/A,#N/A,TRUE,"Skjema 6.20 ";#N/A,#N/A,TRUE,"Skjema 6.21";#N/A,#N/A,TRUE,"Skjema 6.22 ";#N/A,#N/A,TRUE,"Skjema 6.23 ";#N/A,#N/A,TRUE,"Skjema 6.24 ";#N/A,#N/A,TRUE,"Skjema 6.25";#N/A,#N/A,TRUE,"Skjema 6.26 ";#N/A,#N/A,TRUE,"Skjema 6.27";#N/A,#N/A,TRUE,"Skjema 6.28 ";#N/A,#N/A,TRUE,"Skjema 6.29";#N/A,#N/A,TRUE,"Skjema 6.30";#N/A,#N/A,TRUE,"Skjema 6.31b"}</definedName>
    <definedName name="wrn.EKSKL.._.PM._.SKJEMAER." localSheetId="6" hidden="1">{#N/A,#N/A,TRUE,"Skjema 6.5";#N/A,#N/A,TRUE,"Skjema 6.18 ";#N/A,#N/A,TRUE,"Skjema 6.19 ";#N/A,#N/A,TRUE,"Skjema 6.20 ";#N/A,#N/A,TRUE,"Skjema 6.21";#N/A,#N/A,TRUE,"Skjema 6.22 ";#N/A,#N/A,TRUE,"Skjema 6.23 ";#N/A,#N/A,TRUE,"Skjema 6.24 ";#N/A,#N/A,TRUE,"Skjema 6.25";#N/A,#N/A,TRUE,"Skjema 6.26 ";#N/A,#N/A,TRUE,"Skjema 6.27";#N/A,#N/A,TRUE,"Skjema 6.28 ";#N/A,#N/A,TRUE,"Skjema 6.29";#N/A,#N/A,TRUE,"Skjema 6.30";#N/A,#N/A,TRUE,"Skjema 6.31b"}</definedName>
    <definedName name="wrn.EKSKL.._.PM._.SKJEMAER." localSheetId="7" hidden="1">{#N/A,#N/A,TRUE,"Skjema 6.5";#N/A,#N/A,TRUE,"Skjema 6.18 ";#N/A,#N/A,TRUE,"Skjema 6.19 ";#N/A,#N/A,TRUE,"Skjema 6.20 ";#N/A,#N/A,TRUE,"Skjema 6.21";#N/A,#N/A,TRUE,"Skjema 6.22 ";#N/A,#N/A,TRUE,"Skjema 6.23 ";#N/A,#N/A,TRUE,"Skjema 6.24 ";#N/A,#N/A,TRUE,"Skjema 6.25";#N/A,#N/A,TRUE,"Skjema 6.26 ";#N/A,#N/A,TRUE,"Skjema 6.27";#N/A,#N/A,TRUE,"Skjema 6.28 ";#N/A,#N/A,TRUE,"Skjema 6.29";#N/A,#N/A,TRUE,"Skjema 6.30";#N/A,#N/A,TRUE,"Skjema 6.31b"}</definedName>
    <definedName name="wrn.EKSKL.._.PM._.SKJEMAER." localSheetId="10" hidden="1">{#N/A,#N/A,TRUE,"Skjema 6.5";#N/A,#N/A,TRUE,"Skjema 6.18 ";#N/A,#N/A,TRUE,"Skjema 6.19 ";#N/A,#N/A,TRUE,"Skjema 6.20 ";#N/A,#N/A,TRUE,"Skjema 6.21";#N/A,#N/A,TRUE,"Skjema 6.22 ";#N/A,#N/A,TRUE,"Skjema 6.23 ";#N/A,#N/A,TRUE,"Skjema 6.24 ";#N/A,#N/A,TRUE,"Skjema 6.25";#N/A,#N/A,TRUE,"Skjema 6.26 ";#N/A,#N/A,TRUE,"Skjema 6.27";#N/A,#N/A,TRUE,"Skjema 6.28 ";#N/A,#N/A,TRUE,"Skjema 6.29";#N/A,#N/A,TRUE,"Skjema 6.30";#N/A,#N/A,TRUE,"Skjema 6.31b"}</definedName>
    <definedName name="wrn.EKSKL.._.PM._.SKJEMAER." localSheetId="11" hidden="1">{#N/A,#N/A,TRUE,"Skjema 6.5";#N/A,#N/A,TRUE,"Skjema 6.18 ";#N/A,#N/A,TRUE,"Skjema 6.19 ";#N/A,#N/A,TRUE,"Skjema 6.20 ";#N/A,#N/A,TRUE,"Skjema 6.21";#N/A,#N/A,TRUE,"Skjema 6.22 ";#N/A,#N/A,TRUE,"Skjema 6.23 ";#N/A,#N/A,TRUE,"Skjema 6.24 ";#N/A,#N/A,TRUE,"Skjema 6.25";#N/A,#N/A,TRUE,"Skjema 6.26 ";#N/A,#N/A,TRUE,"Skjema 6.27";#N/A,#N/A,TRUE,"Skjema 6.28 ";#N/A,#N/A,TRUE,"Skjema 6.29";#N/A,#N/A,TRUE,"Skjema 6.30";#N/A,#N/A,TRUE,"Skjema 6.31b"}</definedName>
    <definedName name="wrn.EKSKL.._.PM._.SKJEMAER." localSheetId="5" hidden="1">{#N/A,#N/A,TRUE,"Skjema 6.5";#N/A,#N/A,TRUE,"Skjema 6.18 ";#N/A,#N/A,TRUE,"Skjema 6.19 ";#N/A,#N/A,TRUE,"Skjema 6.20 ";#N/A,#N/A,TRUE,"Skjema 6.21";#N/A,#N/A,TRUE,"Skjema 6.22 ";#N/A,#N/A,TRUE,"Skjema 6.23 ";#N/A,#N/A,TRUE,"Skjema 6.24 ";#N/A,#N/A,TRUE,"Skjema 6.25";#N/A,#N/A,TRUE,"Skjema 6.26 ";#N/A,#N/A,TRUE,"Skjema 6.27";#N/A,#N/A,TRUE,"Skjema 6.28 ";#N/A,#N/A,TRUE,"Skjema 6.29";#N/A,#N/A,TRUE,"Skjema 6.30";#N/A,#N/A,TRUE,"Skjema 6.31b"}</definedName>
    <definedName name="wrn.EKSKL.._.PM._.SKJEMAER." localSheetId="4" hidden="1">{#N/A,#N/A,TRUE,"Skjema 6.5";#N/A,#N/A,TRUE,"Skjema 6.18 ";#N/A,#N/A,TRUE,"Skjema 6.19 ";#N/A,#N/A,TRUE,"Skjema 6.20 ";#N/A,#N/A,TRUE,"Skjema 6.21";#N/A,#N/A,TRUE,"Skjema 6.22 ";#N/A,#N/A,TRUE,"Skjema 6.23 ";#N/A,#N/A,TRUE,"Skjema 6.24 ";#N/A,#N/A,TRUE,"Skjema 6.25";#N/A,#N/A,TRUE,"Skjema 6.26 ";#N/A,#N/A,TRUE,"Skjema 6.27";#N/A,#N/A,TRUE,"Skjema 6.28 ";#N/A,#N/A,TRUE,"Skjema 6.29";#N/A,#N/A,TRUE,"Skjema 6.30";#N/A,#N/A,TRUE,"Skjema 6.31b"}</definedName>
    <definedName name="wrn.EKSKL.._.PM._.SKJEMAER." hidden="1">{#N/A,#N/A,TRUE,"Skjema 6.5";#N/A,#N/A,TRUE,"Skjema 6.18 ";#N/A,#N/A,TRUE,"Skjema 6.19 ";#N/A,#N/A,TRUE,"Skjema 6.20 ";#N/A,#N/A,TRUE,"Skjema 6.21";#N/A,#N/A,TRUE,"Skjema 6.22 ";#N/A,#N/A,TRUE,"Skjema 6.23 ";#N/A,#N/A,TRUE,"Skjema 6.24 ";#N/A,#N/A,TRUE,"Skjema 6.25";#N/A,#N/A,TRUE,"Skjema 6.26 ";#N/A,#N/A,TRUE,"Skjema 6.27";#N/A,#N/A,TRUE,"Skjema 6.28 ";#N/A,#N/A,TRUE,"Skjema 6.29";#N/A,#N/A,TRUE,"Skjema 6.30";#N/A,#N/A,TRUE,"Skjema 6.31b"}</definedName>
    <definedName name="wrn.Entire._.Model." localSheetId="3" hidden="1">{#N/A,#N/A,FALSE,"TOC";#N/A,#N/A,FALSE,"ASS";#N/A,#N/A,FALSE,"CF";#N/A,#N/A,FALSE,"Tariff";#N/A,#N/A,FALSE,"Price";#N/A,#N/A,FALSE,"RESERVE";#N/A,#N/A,FALSE,"FUEL&amp;MTC";#N/A,#N/A,FALSE,"DRAW";#N/A,#N/A,FALSE,"IDC";#N/A,#N/A,FALSE,"FIN";#N/A,#N/A,FALSE,"TAXES";#N/A,#N/A,FALSE,"DEPR";#N/A,#N/A,FALSE,"BS";#N/A,#N/A,FALSE,"Perf";#N/A,#N/A,FALSE,"ELOANS";#N/A,#N/A,FALSE,"RETURNS";#N/A,#N/A,FALSE,"ENE";#N/A,#N/A,FALSE,"EINC";#N/A,#N/A,FALSE,"DSCR"}</definedName>
    <definedName name="wrn.Entire._.Model." localSheetId="6" hidden="1">{#N/A,#N/A,FALSE,"TOC";#N/A,#N/A,FALSE,"ASS";#N/A,#N/A,FALSE,"CF";#N/A,#N/A,FALSE,"Tariff";#N/A,#N/A,FALSE,"Price";#N/A,#N/A,FALSE,"RESERVE";#N/A,#N/A,FALSE,"FUEL&amp;MTC";#N/A,#N/A,FALSE,"DRAW";#N/A,#N/A,FALSE,"IDC";#N/A,#N/A,FALSE,"FIN";#N/A,#N/A,FALSE,"TAXES";#N/A,#N/A,FALSE,"DEPR";#N/A,#N/A,FALSE,"BS";#N/A,#N/A,FALSE,"Perf";#N/A,#N/A,FALSE,"ELOANS";#N/A,#N/A,FALSE,"RETURNS";#N/A,#N/A,FALSE,"ENE";#N/A,#N/A,FALSE,"EINC";#N/A,#N/A,FALSE,"DSCR"}</definedName>
    <definedName name="wrn.Entire._.Model." localSheetId="7" hidden="1">{#N/A,#N/A,FALSE,"TOC";#N/A,#N/A,FALSE,"ASS";#N/A,#N/A,FALSE,"CF";#N/A,#N/A,FALSE,"Tariff";#N/A,#N/A,FALSE,"Price";#N/A,#N/A,FALSE,"RESERVE";#N/A,#N/A,FALSE,"FUEL&amp;MTC";#N/A,#N/A,FALSE,"DRAW";#N/A,#N/A,FALSE,"IDC";#N/A,#N/A,FALSE,"FIN";#N/A,#N/A,FALSE,"TAXES";#N/A,#N/A,FALSE,"DEPR";#N/A,#N/A,FALSE,"BS";#N/A,#N/A,FALSE,"Perf";#N/A,#N/A,FALSE,"ELOANS";#N/A,#N/A,FALSE,"RETURNS";#N/A,#N/A,FALSE,"ENE";#N/A,#N/A,FALSE,"EINC";#N/A,#N/A,FALSE,"DSCR"}</definedName>
    <definedName name="wrn.Entire._.Model." localSheetId="10" hidden="1">{#N/A,#N/A,FALSE,"TOC";#N/A,#N/A,FALSE,"ASS";#N/A,#N/A,FALSE,"CF";#N/A,#N/A,FALSE,"Tariff";#N/A,#N/A,FALSE,"Price";#N/A,#N/A,FALSE,"RESERVE";#N/A,#N/A,FALSE,"FUEL&amp;MTC";#N/A,#N/A,FALSE,"DRAW";#N/A,#N/A,FALSE,"IDC";#N/A,#N/A,FALSE,"FIN";#N/A,#N/A,FALSE,"TAXES";#N/A,#N/A,FALSE,"DEPR";#N/A,#N/A,FALSE,"BS";#N/A,#N/A,FALSE,"Perf";#N/A,#N/A,FALSE,"ELOANS";#N/A,#N/A,FALSE,"RETURNS";#N/A,#N/A,FALSE,"ENE";#N/A,#N/A,FALSE,"EINC";#N/A,#N/A,FALSE,"DSCR"}</definedName>
    <definedName name="wrn.Entire._.Model." localSheetId="11" hidden="1">{#N/A,#N/A,FALSE,"TOC";#N/A,#N/A,FALSE,"ASS";#N/A,#N/A,FALSE,"CF";#N/A,#N/A,FALSE,"Tariff";#N/A,#N/A,FALSE,"Price";#N/A,#N/A,FALSE,"RESERVE";#N/A,#N/A,FALSE,"FUEL&amp;MTC";#N/A,#N/A,FALSE,"DRAW";#N/A,#N/A,FALSE,"IDC";#N/A,#N/A,FALSE,"FIN";#N/A,#N/A,FALSE,"TAXES";#N/A,#N/A,FALSE,"DEPR";#N/A,#N/A,FALSE,"BS";#N/A,#N/A,FALSE,"Perf";#N/A,#N/A,FALSE,"ELOANS";#N/A,#N/A,FALSE,"RETURNS";#N/A,#N/A,FALSE,"ENE";#N/A,#N/A,FALSE,"EINC";#N/A,#N/A,FALSE,"DSCR"}</definedName>
    <definedName name="wrn.Entire._.Model." localSheetId="5" hidden="1">{#N/A,#N/A,FALSE,"TOC";#N/A,#N/A,FALSE,"ASS";#N/A,#N/A,FALSE,"CF";#N/A,#N/A,FALSE,"Tariff";#N/A,#N/A,FALSE,"Price";#N/A,#N/A,FALSE,"RESERVE";#N/A,#N/A,FALSE,"FUEL&amp;MTC";#N/A,#N/A,FALSE,"DRAW";#N/A,#N/A,FALSE,"IDC";#N/A,#N/A,FALSE,"FIN";#N/A,#N/A,FALSE,"TAXES";#N/A,#N/A,FALSE,"DEPR";#N/A,#N/A,FALSE,"BS";#N/A,#N/A,FALSE,"Perf";#N/A,#N/A,FALSE,"ELOANS";#N/A,#N/A,FALSE,"RETURNS";#N/A,#N/A,FALSE,"ENE";#N/A,#N/A,FALSE,"EINC";#N/A,#N/A,FALSE,"DSCR"}</definedName>
    <definedName name="wrn.Entire._.Model." localSheetId="4" hidden="1">{#N/A,#N/A,FALSE,"TOC";#N/A,#N/A,FALSE,"ASS";#N/A,#N/A,FALSE,"CF";#N/A,#N/A,FALSE,"Tariff";#N/A,#N/A,FALSE,"Price";#N/A,#N/A,FALSE,"RESERVE";#N/A,#N/A,FALSE,"FUEL&amp;MTC";#N/A,#N/A,FALSE,"DRAW";#N/A,#N/A,FALSE,"IDC";#N/A,#N/A,FALSE,"FIN";#N/A,#N/A,FALSE,"TAXES";#N/A,#N/A,FALSE,"DEPR";#N/A,#N/A,FALSE,"BS";#N/A,#N/A,FALSE,"Perf";#N/A,#N/A,FALSE,"ELOANS";#N/A,#N/A,FALSE,"RETURNS";#N/A,#N/A,FALSE,"ENE";#N/A,#N/A,FALSE,"EINC";#N/A,#N/A,FALSE,"DSCR"}</definedName>
    <definedName name="wrn.Entire._.Model." hidden="1">{#N/A,#N/A,FALSE,"TOC";#N/A,#N/A,FALSE,"ASS";#N/A,#N/A,FALSE,"CF";#N/A,#N/A,FALSE,"Tariff";#N/A,#N/A,FALSE,"Price";#N/A,#N/A,FALSE,"RESERVE";#N/A,#N/A,FALSE,"FUEL&amp;MTC";#N/A,#N/A,FALSE,"DRAW";#N/A,#N/A,FALSE,"IDC";#N/A,#N/A,FALSE,"FIN";#N/A,#N/A,FALSE,"TAXES";#N/A,#N/A,FALSE,"DEPR";#N/A,#N/A,FALSE,"BS";#N/A,#N/A,FALSE,"Perf";#N/A,#N/A,FALSE,"ELOANS";#N/A,#N/A,FALSE,"RETURNS";#N/A,#N/A,FALSE,"ENE";#N/A,#N/A,FALSE,"EINC";#N/A,#N/A,FALSE,"DSCR"}</definedName>
    <definedName name="wrn.Estimation._.TP." localSheetId="3" hidden="1">{#N/A,#N/A,TRUE,"Recap";#N/A,#N/A,TRUE,"Comp taux";#N/A,#N/A,TRUE,"Deplaf";#N/A,#N/A,TRUE,"Siége";#N/A,#N/A,TRUE,"Saint Ouen";#N/A,#N/A,TRUE,"Ivry";#N/A,#N/A,TRUE,"Issy";#N/A,#N/A,TRUE,"VA"}</definedName>
    <definedName name="wrn.Estimation._.TP." localSheetId="6" hidden="1">{#N/A,#N/A,TRUE,"Recap";#N/A,#N/A,TRUE,"Comp taux";#N/A,#N/A,TRUE,"Deplaf";#N/A,#N/A,TRUE,"Siége";#N/A,#N/A,TRUE,"Saint Ouen";#N/A,#N/A,TRUE,"Ivry";#N/A,#N/A,TRUE,"Issy";#N/A,#N/A,TRUE,"VA"}</definedName>
    <definedName name="wrn.Estimation._.TP." localSheetId="7" hidden="1">{#N/A,#N/A,TRUE,"Recap";#N/A,#N/A,TRUE,"Comp taux";#N/A,#N/A,TRUE,"Deplaf";#N/A,#N/A,TRUE,"Siége";#N/A,#N/A,TRUE,"Saint Ouen";#N/A,#N/A,TRUE,"Ivry";#N/A,#N/A,TRUE,"Issy";#N/A,#N/A,TRUE,"VA"}</definedName>
    <definedName name="wrn.Estimation._.TP." localSheetId="10" hidden="1">{#N/A,#N/A,TRUE,"Recap";#N/A,#N/A,TRUE,"Comp taux";#N/A,#N/A,TRUE,"Deplaf";#N/A,#N/A,TRUE,"Siége";#N/A,#N/A,TRUE,"Saint Ouen";#N/A,#N/A,TRUE,"Ivry";#N/A,#N/A,TRUE,"Issy";#N/A,#N/A,TRUE,"VA"}</definedName>
    <definedName name="wrn.Estimation._.TP." localSheetId="11" hidden="1">{#N/A,#N/A,TRUE,"Recap";#N/A,#N/A,TRUE,"Comp taux";#N/A,#N/A,TRUE,"Deplaf";#N/A,#N/A,TRUE,"Siége";#N/A,#N/A,TRUE,"Saint Ouen";#N/A,#N/A,TRUE,"Ivry";#N/A,#N/A,TRUE,"Issy";#N/A,#N/A,TRUE,"VA"}</definedName>
    <definedName name="wrn.Estimation._.TP." localSheetId="5" hidden="1">{#N/A,#N/A,TRUE,"Recap";#N/A,#N/A,TRUE,"Comp taux";#N/A,#N/A,TRUE,"Deplaf";#N/A,#N/A,TRUE,"Siége";#N/A,#N/A,TRUE,"Saint Ouen";#N/A,#N/A,TRUE,"Ivry";#N/A,#N/A,TRUE,"Issy";#N/A,#N/A,TRUE,"VA"}</definedName>
    <definedName name="wrn.Estimation._.TP." localSheetId="4" hidden="1">{#N/A,#N/A,TRUE,"Recap";#N/A,#N/A,TRUE,"Comp taux";#N/A,#N/A,TRUE,"Deplaf";#N/A,#N/A,TRUE,"Siége";#N/A,#N/A,TRUE,"Saint Ouen";#N/A,#N/A,TRUE,"Ivry";#N/A,#N/A,TRUE,"Issy";#N/A,#N/A,TRUE,"VA"}</definedName>
    <definedName name="wrn.Estimation._.TP." hidden="1">{#N/A,#N/A,TRUE,"Recap";#N/A,#N/A,TRUE,"Comp taux";#N/A,#N/A,TRUE,"Deplaf";#N/A,#N/A,TRUE,"Siége";#N/A,#N/A,TRUE,"Saint Ouen";#N/A,#N/A,TRUE,"Ivry";#N/A,#N/A,TRUE,"Issy";#N/A,#N/A,TRUE,"VA"}</definedName>
    <definedName name="wrn.fff" localSheetId="3" hidden="1">{#N/A,#N/A,FALSE,"Res.regn.Aker a.s";#N/A,#N/A,FALSE,"Balanse3112.Aker a.s";#N/A,#N/A,FALSE,"Kont.anal.Aker a.s ";#N/A,#N/A,FALSE,"Noter 1-2.Aker a.s";#N/A,#N/A,FALSE,"Noter 3-7.Aker a.s";#N/A,#N/A,FALSE,"Rev.beretning 95"}</definedName>
    <definedName name="wrn.fff" localSheetId="6" hidden="1">{#N/A,#N/A,FALSE,"Res.regn.Aker a.s";#N/A,#N/A,FALSE,"Balanse3112.Aker a.s";#N/A,#N/A,FALSE,"Kont.anal.Aker a.s ";#N/A,#N/A,FALSE,"Noter 1-2.Aker a.s";#N/A,#N/A,FALSE,"Noter 3-7.Aker a.s";#N/A,#N/A,FALSE,"Rev.beretning 95"}</definedName>
    <definedName name="wrn.fff" localSheetId="7" hidden="1">{#N/A,#N/A,FALSE,"Res.regn.Aker a.s";#N/A,#N/A,FALSE,"Balanse3112.Aker a.s";#N/A,#N/A,FALSE,"Kont.anal.Aker a.s ";#N/A,#N/A,FALSE,"Noter 1-2.Aker a.s";#N/A,#N/A,FALSE,"Noter 3-7.Aker a.s";#N/A,#N/A,FALSE,"Rev.beretning 95"}</definedName>
    <definedName name="wrn.fff" localSheetId="10" hidden="1">{#N/A,#N/A,FALSE,"Res.regn.Aker a.s";#N/A,#N/A,FALSE,"Balanse3112.Aker a.s";#N/A,#N/A,FALSE,"Kont.anal.Aker a.s ";#N/A,#N/A,FALSE,"Noter 1-2.Aker a.s";#N/A,#N/A,FALSE,"Noter 3-7.Aker a.s";#N/A,#N/A,FALSE,"Rev.beretning 95"}</definedName>
    <definedName name="wrn.fff" localSheetId="11" hidden="1">{#N/A,#N/A,FALSE,"Res.regn.Aker a.s";#N/A,#N/A,FALSE,"Balanse3112.Aker a.s";#N/A,#N/A,FALSE,"Kont.anal.Aker a.s ";#N/A,#N/A,FALSE,"Noter 1-2.Aker a.s";#N/A,#N/A,FALSE,"Noter 3-7.Aker a.s";#N/A,#N/A,FALSE,"Rev.beretning 95"}</definedName>
    <definedName name="wrn.fff" localSheetId="5" hidden="1">{#N/A,#N/A,FALSE,"Res.regn.Aker a.s";#N/A,#N/A,FALSE,"Balanse3112.Aker a.s";#N/A,#N/A,FALSE,"Kont.anal.Aker a.s ";#N/A,#N/A,FALSE,"Noter 1-2.Aker a.s";#N/A,#N/A,FALSE,"Noter 3-7.Aker a.s";#N/A,#N/A,FALSE,"Rev.beretning 95"}</definedName>
    <definedName name="wrn.fff" localSheetId="4" hidden="1">{#N/A,#N/A,FALSE,"Res.regn.Aker a.s";#N/A,#N/A,FALSE,"Balanse3112.Aker a.s";#N/A,#N/A,FALSE,"Kont.anal.Aker a.s ";#N/A,#N/A,FALSE,"Noter 1-2.Aker a.s";#N/A,#N/A,FALSE,"Noter 3-7.Aker a.s";#N/A,#N/A,FALSE,"Rev.beretning 95"}</definedName>
    <definedName name="wrn.fff" hidden="1">{#N/A,#N/A,FALSE,"Res.regn.Aker a.s";#N/A,#N/A,FALSE,"Balanse3112.Aker a.s";#N/A,#N/A,FALSE,"Kont.anal.Aker a.s ";#N/A,#N/A,FALSE,"Noter 1-2.Aker a.s";#N/A,#N/A,FALSE,"Noter 3-7.Aker a.s";#N/A,#N/A,FALSE,"Rev.beretning 95"}</definedName>
    <definedName name="wrn.ffg" localSheetId="3" hidden="1">{#N/A,#N/A,FALSE,"REGNSKAPSUTDRAG DIVISJON";#N/A,#N/A,FALSE,"Nøkkeltall"}</definedName>
    <definedName name="wrn.ffg" localSheetId="6" hidden="1">{#N/A,#N/A,FALSE,"REGNSKAPSUTDRAG DIVISJON";#N/A,#N/A,FALSE,"Nøkkeltall"}</definedName>
    <definedName name="wrn.ffg" localSheetId="7" hidden="1">{#N/A,#N/A,FALSE,"REGNSKAPSUTDRAG DIVISJON";#N/A,#N/A,FALSE,"Nøkkeltall"}</definedName>
    <definedName name="wrn.ffg" localSheetId="10" hidden="1">{#N/A,#N/A,FALSE,"REGNSKAPSUTDRAG DIVISJON";#N/A,#N/A,FALSE,"Nøkkeltall"}</definedName>
    <definedName name="wrn.ffg" localSheetId="11" hidden="1">{#N/A,#N/A,FALSE,"REGNSKAPSUTDRAG DIVISJON";#N/A,#N/A,FALSE,"Nøkkeltall"}</definedName>
    <definedName name="wrn.ffg" localSheetId="5" hidden="1">{#N/A,#N/A,FALSE,"REGNSKAPSUTDRAG DIVISJON";#N/A,#N/A,FALSE,"Nøkkeltall"}</definedName>
    <definedName name="wrn.ffg" localSheetId="4" hidden="1">{#N/A,#N/A,FALSE,"REGNSKAPSUTDRAG DIVISJON";#N/A,#N/A,FALSE,"Nøkkeltall"}</definedName>
    <definedName name="wrn.ffg" hidden="1">{#N/A,#N/A,FALSE,"REGNSKAPSUTDRAG DIVISJON";#N/A,#N/A,FALSE,"Nøkkeltall"}</definedName>
    <definedName name="wrn.Financials_long." localSheetId="3" hidden="1">{"IS",#N/A,FALSE,"Financials2 (Expanded)";"bsa",#N/A,FALSE,"Financials2 (Expanded)";"BS",#N/A,FALSE,"Financials2 (Expanded)";"CF",#N/A,FALSE,"Financials2 (Expanded)"}</definedName>
    <definedName name="wrn.Financials_long." localSheetId="6" hidden="1">{"IS",#N/A,FALSE,"Financials2 (Expanded)";"bsa",#N/A,FALSE,"Financials2 (Expanded)";"BS",#N/A,FALSE,"Financials2 (Expanded)";"CF",#N/A,FALSE,"Financials2 (Expanded)"}</definedName>
    <definedName name="wrn.Financials_long." localSheetId="7" hidden="1">{"IS",#N/A,FALSE,"Financials2 (Expanded)";"bsa",#N/A,FALSE,"Financials2 (Expanded)";"BS",#N/A,FALSE,"Financials2 (Expanded)";"CF",#N/A,FALSE,"Financials2 (Expanded)"}</definedName>
    <definedName name="wrn.Financials_long." localSheetId="10" hidden="1">{"IS",#N/A,FALSE,"Financials2 (Expanded)";"bsa",#N/A,FALSE,"Financials2 (Expanded)";"BS",#N/A,FALSE,"Financials2 (Expanded)";"CF",#N/A,FALSE,"Financials2 (Expanded)"}</definedName>
    <definedName name="wrn.Financials_long." localSheetId="11" hidden="1">{"IS",#N/A,FALSE,"Financials2 (Expanded)";"bsa",#N/A,FALSE,"Financials2 (Expanded)";"BS",#N/A,FALSE,"Financials2 (Expanded)";"CF",#N/A,FALSE,"Financials2 (Expanded)"}</definedName>
    <definedName name="wrn.Financials_long." localSheetId="5" hidden="1">{"IS",#N/A,FALSE,"Financials2 (Expanded)";"bsa",#N/A,FALSE,"Financials2 (Expanded)";"BS",#N/A,FALSE,"Financials2 (Expanded)";"CF",#N/A,FALSE,"Financials2 (Expanded)"}</definedName>
    <definedName name="wrn.Financials_long." localSheetId="4" hidden="1">{"IS",#N/A,FALSE,"Financials2 (Expanded)";"bsa",#N/A,FALSE,"Financials2 (Expanded)";"BS",#N/A,FALSE,"Financials2 (Expanded)";"CF",#N/A,FALSE,"Financials2 (Expanded)"}</definedName>
    <definedName name="wrn.Financials_long." hidden="1">{"IS",#N/A,FALSE,"Financials2 (Expanded)";"bsa",#N/A,FALSE,"Financials2 (Expanded)";"BS",#N/A,FALSE,"Financials2 (Expanded)";"CF",#N/A,FALSE,"Financials2 (Expanded)"}</definedName>
    <definedName name="wrn.Full._.Monty." localSheetId="3" hidden="1">{"ROIC",#N/A,FALSE,"ROIC";"Graphs",#N/A,FALSE,"TY analysis";"fcf",#N/A,FALSE,"FCF";"Matrix_2004",#N/A,FALSE,"MATRIX(2004)";"matrix_2008",#N/A,FALSE,"MATRIX(2008)";"FS_Condensed",#N/A,FALSE,"Financial Statements2";"TAXES",#N/A,FALSE,"Taxes";"DEBT_INVEST",#N/A,FALSE,"Debt&amp;Investment Schedule";"Main_menu",#N/A,FALSE,"Main Menu"}</definedName>
    <definedName name="wrn.Full._.Monty." localSheetId="6" hidden="1">{"ROIC",#N/A,FALSE,"ROIC";"Graphs",#N/A,FALSE,"TY analysis";"fcf",#N/A,FALSE,"FCF";"Matrix_2004",#N/A,FALSE,"MATRIX(2004)";"matrix_2008",#N/A,FALSE,"MATRIX(2008)";"FS_Condensed",#N/A,FALSE,"Financial Statements2";"TAXES",#N/A,FALSE,"Taxes";"DEBT_INVEST",#N/A,FALSE,"Debt&amp;Investment Schedule";"Main_menu",#N/A,FALSE,"Main Menu"}</definedName>
    <definedName name="wrn.Full._.Monty." localSheetId="7" hidden="1">{"ROIC",#N/A,FALSE,"ROIC";"Graphs",#N/A,FALSE,"TY analysis";"fcf",#N/A,FALSE,"FCF";"Matrix_2004",#N/A,FALSE,"MATRIX(2004)";"matrix_2008",#N/A,FALSE,"MATRIX(2008)";"FS_Condensed",#N/A,FALSE,"Financial Statements2";"TAXES",#N/A,FALSE,"Taxes";"DEBT_INVEST",#N/A,FALSE,"Debt&amp;Investment Schedule";"Main_menu",#N/A,FALSE,"Main Menu"}</definedName>
    <definedName name="wrn.Full._.Monty." localSheetId="10" hidden="1">{"ROIC",#N/A,FALSE,"ROIC";"Graphs",#N/A,FALSE,"TY analysis";"fcf",#N/A,FALSE,"FCF";"Matrix_2004",#N/A,FALSE,"MATRIX(2004)";"matrix_2008",#N/A,FALSE,"MATRIX(2008)";"FS_Condensed",#N/A,FALSE,"Financial Statements2";"TAXES",#N/A,FALSE,"Taxes";"DEBT_INVEST",#N/A,FALSE,"Debt&amp;Investment Schedule";"Main_menu",#N/A,FALSE,"Main Menu"}</definedName>
    <definedName name="wrn.Full._.Monty." localSheetId="11" hidden="1">{"ROIC",#N/A,FALSE,"ROIC";"Graphs",#N/A,FALSE,"TY analysis";"fcf",#N/A,FALSE,"FCF";"Matrix_2004",#N/A,FALSE,"MATRIX(2004)";"matrix_2008",#N/A,FALSE,"MATRIX(2008)";"FS_Condensed",#N/A,FALSE,"Financial Statements2";"TAXES",#N/A,FALSE,"Taxes";"DEBT_INVEST",#N/A,FALSE,"Debt&amp;Investment Schedule";"Main_menu",#N/A,FALSE,"Main Menu"}</definedName>
    <definedName name="wrn.Full._.Monty." localSheetId="5" hidden="1">{"ROIC",#N/A,FALSE,"ROIC";"Graphs",#N/A,FALSE,"TY analysis";"fcf",#N/A,FALSE,"FCF";"Matrix_2004",#N/A,FALSE,"MATRIX(2004)";"matrix_2008",#N/A,FALSE,"MATRIX(2008)";"FS_Condensed",#N/A,FALSE,"Financial Statements2";"TAXES",#N/A,FALSE,"Taxes";"DEBT_INVEST",#N/A,FALSE,"Debt&amp;Investment Schedule";"Main_menu",#N/A,FALSE,"Main Menu"}</definedName>
    <definedName name="wrn.Full._.Monty." localSheetId="4" hidden="1">{"ROIC",#N/A,FALSE,"ROIC";"Graphs",#N/A,FALSE,"TY analysis";"fcf",#N/A,FALSE,"FCF";"Matrix_2004",#N/A,FALSE,"MATRIX(2004)";"matrix_2008",#N/A,FALSE,"MATRIX(2008)";"FS_Condensed",#N/A,FALSE,"Financial Statements2";"TAXES",#N/A,FALSE,"Taxes";"DEBT_INVEST",#N/A,FALSE,"Debt&amp;Investment Schedule";"Main_menu",#N/A,FALSE,"Main Menu"}</definedName>
    <definedName name="wrn.Full._.Monty." hidden="1">{"ROIC",#N/A,FALSE,"ROIC";"Graphs",#N/A,FALSE,"TY analysis";"fcf",#N/A,FALSE,"FCF";"Matrix_2004",#N/A,FALSE,"MATRIX(2004)";"matrix_2008",#N/A,FALSE,"MATRIX(2008)";"FS_Condensed",#N/A,FALSE,"Financial Statements2";"TAXES",#N/A,FALSE,"Taxes";"DEBT_INVEST",#N/A,FALSE,"Debt&amp;Investment Schedule";"Main_menu",#N/A,FALSE,"Main Menu"}</definedName>
    <definedName name="wrn.full._.report." localSheetId="3"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 localSheetId="6"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 localSheetId="7"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 localSheetId="10"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 localSheetId="11"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 localSheetId="5"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 localSheetId="4"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GERAL." localSheetId="3" hidden="1">{#N/A,#N/A,FALSE,"ET-CAPA";#N/A,#N/A,FALSE,"ET-PAG1";#N/A,#N/A,FALSE,"ET-PAG2";#N/A,#N/A,FALSE,"ET-PAG3";#N/A,#N/A,FALSE,"ET-PAG4";#N/A,#N/A,FALSE,"ET-PAG5"}</definedName>
    <definedName name="wrn.GERAL." localSheetId="6" hidden="1">{#N/A,#N/A,FALSE,"ET-CAPA";#N/A,#N/A,FALSE,"ET-PAG1";#N/A,#N/A,FALSE,"ET-PAG2";#N/A,#N/A,FALSE,"ET-PAG3";#N/A,#N/A,FALSE,"ET-PAG4";#N/A,#N/A,FALSE,"ET-PAG5"}</definedName>
    <definedName name="wrn.GERAL." localSheetId="7" hidden="1">{#N/A,#N/A,FALSE,"ET-CAPA";#N/A,#N/A,FALSE,"ET-PAG1";#N/A,#N/A,FALSE,"ET-PAG2";#N/A,#N/A,FALSE,"ET-PAG3";#N/A,#N/A,FALSE,"ET-PAG4";#N/A,#N/A,FALSE,"ET-PAG5"}</definedName>
    <definedName name="wrn.GERAL." localSheetId="10" hidden="1">{#N/A,#N/A,FALSE,"ET-CAPA";#N/A,#N/A,FALSE,"ET-PAG1";#N/A,#N/A,FALSE,"ET-PAG2";#N/A,#N/A,FALSE,"ET-PAG3";#N/A,#N/A,FALSE,"ET-PAG4";#N/A,#N/A,FALSE,"ET-PAG5"}</definedName>
    <definedName name="wrn.GERAL." localSheetId="11" hidden="1">{#N/A,#N/A,FALSE,"ET-CAPA";#N/A,#N/A,FALSE,"ET-PAG1";#N/A,#N/A,FALSE,"ET-PAG2";#N/A,#N/A,FALSE,"ET-PAG3";#N/A,#N/A,FALSE,"ET-PAG4";#N/A,#N/A,FALSE,"ET-PAG5"}</definedName>
    <definedName name="wrn.GERAL." localSheetId="5" hidden="1">{#N/A,#N/A,FALSE,"ET-CAPA";#N/A,#N/A,FALSE,"ET-PAG1";#N/A,#N/A,FALSE,"ET-PAG2";#N/A,#N/A,FALSE,"ET-PAG3";#N/A,#N/A,FALSE,"ET-PAG4";#N/A,#N/A,FALSE,"ET-PAG5"}</definedName>
    <definedName name="wrn.GERAL." localSheetId="4" hidden="1">{#N/A,#N/A,FALSE,"ET-CAPA";#N/A,#N/A,FALSE,"ET-PAG1";#N/A,#N/A,FALSE,"ET-PAG2";#N/A,#N/A,FALSE,"ET-PAG3";#N/A,#N/A,FALSE,"ET-PAG4";#N/A,#N/A,FALSE,"ET-PAG5"}</definedName>
    <definedName name="wrn.GERAL." hidden="1">{#N/A,#N/A,FALSE,"ET-CAPA";#N/A,#N/A,FALSE,"ET-PAG1";#N/A,#N/A,FALSE,"ET-PAG2";#N/A,#N/A,FALSE,"ET-PAG3";#N/A,#N/A,FALSE,"ET-PAG4";#N/A,#N/A,FALSE,"ET-PAG5"}</definedName>
    <definedName name="wrn.gleachår." localSheetId="3" hidden="1">{#N/A,#N/A,TRUE,"forside";#N/A,#N/A,TRUE,"Res_AOGT";#N/A,#N/A,TRUE,"Bal_AOGT";#N/A,#N/A,TRUE,"Kont_AOGT";#N/A,#N/A,TRUE,"Note 1-5";#N/A,#N/A,TRUE,"Note 6-9";#N/A,#N/A,TRUE,"Bal_note10-14";#N/A,#N/A,TRUE,"Note 15-16";#N/A,#N/A,TRUE,"Note 17-19";#N/A,#N/A,TRUE,"Note 19 forts.";#N/A,#N/A,TRUE,"Note 20-23";#N/A,#N/A,TRUE,"Nøkkeltall"}</definedName>
    <definedName name="wrn.gleachår." localSheetId="6" hidden="1">{#N/A,#N/A,TRUE,"forside";#N/A,#N/A,TRUE,"Res_AOGT";#N/A,#N/A,TRUE,"Bal_AOGT";#N/A,#N/A,TRUE,"Kont_AOGT";#N/A,#N/A,TRUE,"Note 1-5";#N/A,#N/A,TRUE,"Note 6-9";#N/A,#N/A,TRUE,"Bal_note10-14";#N/A,#N/A,TRUE,"Note 15-16";#N/A,#N/A,TRUE,"Note 17-19";#N/A,#N/A,TRUE,"Note 19 forts.";#N/A,#N/A,TRUE,"Note 20-23";#N/A,#N/A,TRUE,"Nøkkeltall"}</definedName>
    <definedName name="wrn.gleachår." localSheetId="7" hidden="1">{#N/A,#N/A,TRUE,"forside";#N/A,#N/A,TRUE,"Res_AOGT";#N/A,#N/A,TRUE,"Bal_AOGT";#N/A,#N/A,TRUE,"Kont_AOGT";#N/A,#N/A,TRUE,"Note 1-5";#N/A,#N/A,TRUE,"Note 6-9";#N/A,#N/A,TRUE,"Bal_note10-14";#N/A,#N/A,TRUE,"Note 15-16";#N/A,#N/A,TRUE,"Note 17-19";#N/A,#N/A,TRUE,"Note 19 forts.";#N/A,#N/A,TRUE,"Note 20-23";#N/A,#N/A,TRUE,"Nøkkeltall"}</definedName>
    <definedName name="wrn.gleachår." localSheetId="10" hidden="1">{#N/A,#N/A,TRUE,"forside";#N/A,#N/A,TRUE,"Res_AOGT";#N/A,#N/A,TRUE,"Bal_AOGT";#N/A,#N/A,TRUE,"Kont_AOGT";#N/A,#N/A,TRUE,"Note 1-5";#N/A,#N/A,TRUE,"Note 6-9";#N/A,#N/A,TRUE,"Bal_note10-14";#N/A,#N/A,TRUE,"Note 15-16";#N/A,#N/A,TRUE,"Note 17-19";#N/A,#N/A,TRUE,"Note 19 forts.";#N/A,#N/A,TRUE,"Note 20-23";#N/A,#N/A,TRUE,"Nøkkeltall"}</definedName>
    <definedName name="wrn.gleachår." localSheetId="11" hidden="1">{#N/A,#N/A,TRUE,"forside";#N/A,#N/A,TRUE,"Res_AOGT";#N/A,#N/A,TRUE,"Bal_AOGT";#N/A,#N/A,TRUE,"Kont_AOGT";#N/A,#N/A,TRUE,"Note 1-5";#N/A,#N/A,TRUE,"Note 6-9";#N/A,#N/A,TRUE,"Bal_note10-14";#N/A,#N/A,TRUE,"Note 15-16";#N/A,#N/A,TRUE,"Note 17-19";#N/A,#N/A,TRUE,"Note 19 forts.";#N/A,#N/A,TRUE,"Note 20-23";#N/A,#N/A,TRUE,"Nøkkeltall"}</definedName>
    <definedName name="wrn.gleachår." localSheetId="5" hidden="1">{#N/A,#N/A,TRUE,"forside";#N/A,#N/A,TRUE,"Res_AOGT";#N/A,#N/A,TRUE,"Bal_AOGT";#N/A,#N/A,TRUE,"Kont_AOGT";#N/A,#N/A,TRUE,"Note 1-5";#N/A,#N/A,TRUE,"Note 6-9";#N/A,#N/A,TRUE,"Bal_note10-14";#N/A,#N/A,TRUE,"Note 15-16";#N/A,#N/A,TRUE,"Note 17-19";#N/A,#N/A,TRUE,"Note 19 forts.";#N/A,#N/A,TRUE,"Note 20-23";#N/A,#N/A,TRUE,"Nøkkeltall"}</definedName>
    <definedName name="wrn.gleachår." localSheetId="4" hidden="1">{#N/A,#N/A,TRUE,"forside";#N/A,#N/A,TRUE,"Res_AOGT";#N/A,#N/A,TRUE,"Bal_AOGT";#N/A,#N/A,TRUE,"Kont_AOGT";#N/A,#N/A,TRUE,"Note 1-5";#N/A,#N/A,TRUE,"Note 6-9";#N/A,#N/A,TRUE,"Bal_note10-14";#N/A,#N/A,TRUE,"Note 15-16";#N/A,#N/A,TRUE,"Note 17-19";#N/A,#N/A,TRUE,"Note 19 forts.";#N/A,#N/A,TRUE,"Note 20-23";#N/A,#N/A,TRUE,"Nøkkeltall"}</definedName>
    <definedName name="wrn.gleachår." hidden="1">{#N/A,#N/A,TRUE,"forside";#N/A,#N/A,TRUE,"Res_AOGT";#N/A,#N/A,TRUE,"Bal_AOGT";#N/A,#N/A,TRUE,"Kont_AOGT";#N/A,#N/A,TRUE,"Note 1-5";#N/A,#N/A,TRUE,"Note 6-9";#N/A,#N/A,TRUE,"Bal_note10-14";#N/A,#N/A,TRUE,"Note 15-16";#N/A,#N/A,TRUE,"Note 17-19";#N/A,#N/A,TRUE,"Note 19 forts.";#N/A,#N/A,TRUE,"Note 20-23";#N/A,#N/A,TRUE,"Nøkkeltall"}</definedName>
    <definedName name="WRN.HGTR" localSheetId="3" hidden="1">{#N/A,#N/A,FALSE,"Anexo I";#N/A,#N/A,FALSE,"Anexo II";#N/A,#N/A,FALSE,"Anexo III"}</definedName>
    <definedName name="WRN.HGTR" localSheetId="6" hidden="1">{#N/A,#N/A,FALSE,"Anexo I";#N/A,#N/A,FALSE,"Anexo II";#N/A,#N/A,FALSE,"Anexo III"}</definedName>
    <definedName name="WRN.HGTR" localSheetId="7" hidden="1">{#N/A,#N/A,FALSE,"Anexo I";#N/A,#N/A,FALSE,"Anexo II";#N/A,#N/A,FALSE,"Anexo III"}</definedName>
    <definedName name="WRN.HGTR" localSheetId="10" hidden="1">{#N/A,#N/A,FALSE,"Anexo I";#N/A,#N/A,FALSE,"Anexo II";#N/A,#N/A,FALSE,"Anexo III"}</definedName>
    <definedName name="WRN.HGTR" localSheetId="11" hidden="1">{#N/A,#N/A,FALSE,"Anexo I";#N/A,#N/A,FALSE,"Anexo II";#N/A,#N/A,FALSE,"Anexo III"}</definedName>
    <definedName name="WRN.HGTR" localSheetId="5" hidden="1">{#N/A,#N/A,FALSE,"Anexo I";#N/A,#N/A,FALSE,"Anexo II";#N/A,#N/A,FALSE,"Anexo III"}</definedName>
    <definedName name="WRN.HGTR" localSheetId="4" hidden="1">{#N/A,#N/A,FALSE,"Anexo I";#N/A,#N/A,FALSE,"Anexo II";#N/A,#N/A,FALSE,"Anexo III"}</definedName>
    <definedName name="WRN.HGTR" hidden="1">{#N/A,#N/A,FALSE,"Anexo I";#N/A,#N/A,FALSE,"Anexo II";#N/A,#N/A,FALSE,"Anexo III"}</definedName>
    <definedName name="wrn.holding." localSheetId="3" hidden="1">{#N/A,#N/A,FALSE,"forside";#N/A,#N/A,FALSE,"ResRegn.A-kons.";#N/A,#N/A,FALSE,"Bal3112.A-kons.";#N/A,#N/A,FALSE,"Kont.a.A-kons.";#N/A,#N/A,FALSE,"Note 4-10";#N/A,#N/A,FALSE,"Noter Balanse.A-kons.";#N/A,#N/A,FALSE,"Note 17-18.A-kons. ";#N/A,#N/A,FALSE,"Note 20-22.A-kons.";#N/A,#N/A,FALSE,"Note 23 A-kons.";#N/A,#N/A,FALSE,"Note 24-31.A-kons.";#N/A,#N/A,FALSE,"Nøkkeltall"}</definedName>
    <definedName name="wrn.holding." localSheetId="6" hidden="1">{#N/A,#N/A,FALSE,"forside";#N/A,#N/A,FALSE,"ResRegn.A-kons.";#N/A,#N/A,FALSE,"Bal3112.A-kons.";#N/A,#N/A,FALSE,"Kont.a.A-kons.";#N/A,#N/A,FALSE,"Note 4-10";#N/A,#N/A,FALSE,"Noter Balanse.A-kons.";#N/A,#N/A,FALSE,"Note 17-18.A-kons. ";#N/A,#N/A,FALSE,"Note 20-22.A-kons.";#N/A,#N/A,FALSE,"Note 23 A-kons.";#N/A,#N/A,FALSE,"Note 24-31.A-kons.";#N/A,#N/A,FALSE,"Nøkkeltall"}</definedName>
    <definedName name="wrn.holding." localSheetId="7" hidden="1">{#N/A,#N/A,FALSE,"forside";#N/A,#N/A,FALSE,"ResRegn.A-kons.";#N/A,#N/A,FALSE,"Bal3112.A-kons.";#N/A,#N/A,FALSE,"Kont.a.A-kons.";#N/A,#N/A,FALSE,"Note 4-10";#N/A,#N/A,FALSE,"Noter Balanse.A-kons.";#N/A,#N/A,FALSE,"Note 17-18.A-kons. ";#N/A,#N/A,FALSE,"Note 20-22.A-kons.";#N/A,#N/A,FALSE,"Note 23 A-kons.";#N/A,#N/A,FALSE,"Note 24-31.A-kons.";#N/A,#N/A,FALSE,"Nøkkeltall"}</definedName>
    <definedName name="wrn.holding." localSheetId="10" hidden="1">{#N/A,#N/A,FALSE,"forside";#N/A,#N/A,FALSE,"ResRegn.A-kons.";#N/A,#N/A,FALSE,"Bal3112.A-kons.";#N/A,#N/A,FALSE,"Kont.a.A-kons.";#N/A,#N/A,FALSE,"Note 4-10";#N/A,#N/A,FALSE,"Noter Balanse.A-kons.";#N/A,#N/A,FALSE,"Note 17-18.A-kons. ";#N/A,#N/A,FALSE,"Note 20-22.A-kons.";#N/A,#N/A,FALSE,"Note 23 A-kons.";#N/A,#N/A,FALSE,"Note 24-31.A-kons.";#N/A,#N/A,FALSE,"Nøkkeltall"}</definedName>
    <definedName name="wrn.holding." localSheetId="11" hidden="1">{#N/A,#N/A,FALSE,"forside";#N/A,#N/A,FALSE,"ResRegn.A-kons.";#N/A,#N/A,FALSE,"Bal3112.A-kons.";#N/A,#N/A,FALSE,"Kont.a.A-kons.";#N/A,#N/A,FALSE,"Note 4-10";#N/A,#N/A,FALSE,"Noter Balanse.A-kons.";#N/A,#N/A,FALSE,"Note 17-18.A-kons. ";#N/A,#N/A,FALSE,"Note 20-22.A-kons.";#N/A,#N/A,FALSE,"Note 23 A-kons.";#N/A,#N/A,FALSE,"Note 24-31.A-kons.";#N/A,#N/A,FALSE,"Nøkkeltall"}</definedName>
    <definedName name="wrn.holding." localSheetId="5" hidden="1">{#N/A,#N/A,FALSE,"forside";#N/A,#N/A,FALSE,"ResRegn.A-kons.";#N/A,#N/A,FALSE,"Bal3112.A-kons.";#N/A,#N/A,FALSE,"Kont.a.A-kons.";#N/A,#N/A,FALSE,"Note 4-10";#N/A,#N/A,FALSE,"Noter Balanse.A-kons.";#N/A,#N/A,FALSE,"Note 17-18.A-kons. ";#N/A,#N/A,FALSE,"Note 20-22.A-kons.";#N/A,#N/A,FALSE,"Note 23 A-kons.";#N/A,#N/A,FALSE,"Note 24-31.A-kons.";#N/A,#N/A,FALSE,"Nøkkeltall"}</definedName>
    <definedName name="wrn.holding." localSheetId="4" hidden="1">{#N/A,#N/A,FALSE,"forside";#N/A,#N/A,FALSE,"ResRegn.A-kons.";#N/A,#N/A,FALSE,"Bal3112.A-kons.";#N/A,#N/A,FALSE,"Kont.a.A-kons.";#N/A,#N/A,FALSE,"Note 4-10";#N/A,#N/A,FALSE,"Noter Balanse.A-kons.";#N/A,#N/A,FALSE,"Note 17-18.A-kons. ";#N/A,#N/A,FALSE,"Note 20-22.A-kons.";#N/A,#N/A,FALSE,"Note 23 A-kons.";#N/A,#N/A,FALSE,"Note 24-31.A-kons.";#N/A,#N/A,FALSE,"Nøkkeltall"}</definedName>
    <definedName name="wrn.holding." hidden="1">{#N/A,#N/A,FALSE,"forside";#N/A,#N/A,FALSE,"ResRegn.A-kons.";#N/A,#N/A,FALSE,"Bal3112.A-kons.";#N/A,#N/A,FALSE,"Kont.a.A-kons.";#N/A,#N/A,FALSE,"Note 4-10";#N/A,#N/A,FALSE,"Noter Balanse.A-kons.";#N/A,#N/A,FALSE,"Note 17-18.A-kons. ";#N/A,#N/A,FALSE,"Note 20-22.A-kons.";#N/A,#N/A,FALSE,"Note 23 A-kons.";#N/A,#N/A,FALSE,"Note 24-31.A-kons.";#N/A,#N/A,FALSE,"Nøkkeltall"}</definedName>
    <definedName name="wrn.impresión." localSheetId="3"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wrn.impresión." localSheetId="6"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wrn.impresión." localSheetId="7"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wrn.impresión." localSheetId="10"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wrn.impresión." localSheetId="1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wrn.impresión." localSheetId="5"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wrn.impresión." localSheetId="4"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wrn.impresión." localSheetId="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wrn.impresión." localSheetId="2"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wrn.impresión."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wrn.impresión.1" localSheetId="3"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wrn.impresión.1" localSheetId="6"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wrn.impresión.1" localSheetId="7"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wrn.impresión.1" localSheetId="10"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wrn.impresión.1" localSheetId="1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wrn.impresión.1" localSheetId="5"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wrn.impresión.1" localSheetId="4"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wrn.impresión.1" localSheetId="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wrn.impresión.1" localSheetId="2"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wrn.impresión.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wrn.Imprimir._.seções." localSheetId="3" hidden="1">{#N/A,#N/A,FALSE,"OORS";#N/A,#N/A,FALSE,"OEOT Ferrovia";#N/A,#N/A,FALSE,"OEOT Manobreiro";#N/A,#N/A,FALSE,"OEOT Rodovia";#N/A,#N/A,FALSE,"OEOT Bota Fora";#N/A,#N/A,FALSE,"OORQ";#N/A,#N/A,FALSE,"OORF Apoio";#N/A,#N/A,FALSE,"OORF Canaleiro";#N/A,#N/A,FALSE,"OORC";#N/A,#N/A,FALSE,"OOLO";#N/A,#N/A,FALSE,"OOEA";#N/A,#N/A,FALSE,"OEOM";#N/A,#N/A,FALSE,"OOE";#N/A,#N/A,FALSE,"OOEE";#N/A,#N/A,FALSE,"OERM";#N/A,#N/A,FALSE,"POOL";#N/A,#N/A,FALSE,"Extra OORS";#N/A,#N/A,FALSE,"Extra OEOT Ferrovia";#N/A,#N/A,FALSE,"Extra OEOT Manobreiro";#N/A,#N/A,FALSE,"Extra OEOT Rodovia";#N/A,#N/A,FALSE,"Extra OEOT Bota Fora";#N/A,#N/A,FALSE,"Extra OORQ";#N/A,#N/A,FALSE,"Extra OORF Apoio";#N/A,#N/A,FALSE,"Extra OORF Canaleiro";#N/A,#N/A,FALSE,"Extra OORC";#N/A,#N/A,FALSE,"Extra OOLO";#N/A,#N/A,FALSE,"Extra OOEA";#N/A,#N/A,FALSE,"Extra OEOM";#N/A,#N/A,FALSE,"Extra OOE";#N/A,#N/A,FALSE,"Extra OOEE";#N/A,#N/A,FALSE,"Extra OERM";#N/A,#N/A,FALSE,"Extra POOL"}</definedName>
    <definedName name="wrn.Imprimir._.seções." localSheetId="6" hidden="1">{#N/A,#N/A,FALSE,"OORS";#N/A,#N/A,FALSE,"OEOT Ferrovia";#N/A,#N/A,FALSE,"OEOT Manobreiro";#N/A,#N/A,FALSE,"OEOT Rodovia";#N/A,#N/A,FALSE,"OEOT Bota Fora";#N/A,#N/A,FALSE,"OORQ";#N/A,#N/A,FALSE,"OORF Apoio";#N/A,#N/A,FALSE,"OORF Canaleiro";#N/A,#N/A,FALSE,"OORC";#N/A,#N/A,FALSE,"OOLO";#N/A,#N/A,FALSE,"OOEA";#N/A,#N/A,FALSE,"OEOM";#N/A,#N/A,FALSE,"OOE";#N/A,#N/A,FALSE,"OOEE";#N/A,#N/A,FALSE,"OERM";#N/A,#N/A,FALSE,"POOL";#N/A,#N/A,FALSE,"Extra OORS";#N/A,#N/A,FALSE,"Extra OEOT Ferrovia";#N/A,#N/A,FALSE,"Extra OEOT Manobreiro";#N/A,#N/A,FALSE,"Extra OEOT Rodovia";#N/A,#N/A,FALSE,"Extra OEOT Bota Fora";#N/A,#N/A,FALSE,"Extra OORQ";#N/A,#N/A,FALSE,"Extra OORF Apoio";#N/A,#N/A,FALSE,"Extra OORF Canaleiro";#N/A,#N/A,FALSE,"Extra OORC";#N/A,#N/A,FALSE,"Extra OOLO";#N/A,#N/A,FALSE,"Extra OOEA";#N/A,#N/A,FALSE,"Extra OEOM";#N/A,#N/A,FALSE,"Extra OOE";#N/A,#N/A,FALSE,"Extra OOEE";#N/A,#N/A,FALSE,"Extra OERM";#N/A,#N/A,FALSE,"Extra POOL"}</definedName>
    <definedName name="wrn.Imprimir._.seções." localSheetId="7" hidden="1">{#N/A,#N/A,FALSE,"OORS";#N/A,#N/A,FALSE,"OEOT Ferrovia";#N/A,#N/A,FALSE,"OEOT Manobreiro";#N/A,#N/A,FALSE,"OEOT Rodovia";#N/A,#N/A,FALSE,"OEOT Bota Fora";#N/A,#N/A,FALSE,"OORQ";#N/A,#N/A,FALSE,"OORF Apoio";#N/A,#N/A,FALSE,"OORF Canaleiro";#N/A,#N/A,FALSE,"OORC";#N/A,#N/A,FALSE,"OOLO";#N/A,#N/A,FALSE,"OOEA";#N/A,#N/A,FALSE,"OEOM";#N/A,#N/A,FALSE,"OOE";#N/A,#N/A,FALSE,"OOEE";#N/A,#N/A,FALSE,"OERM";#N/A,#N/A,FALSE,"POOL";#N/A,#N/A,FALSE,"Extra OORS";#N/A,#N/A,FALSE,"Extra OEOT Ferrovia";#N/A,#N/A,FALSE,"Extra OEOT Manobreiro";#N/A,#N/A,FALSE,"Extra OEOT Rodovia";#N/A,#N/A,FALSE,"Extra OEOT Bota Fora";#N/A,#N/A,FALSE,"Extra OORQ";#N/A,#N/A,FALSE,"Extra OORF Apoio";#N/A,#N/A,FALSE,"Extra OORF Canaleiro";#N/A,#N/A,FALSE,"Extra OORC";#N/A,#N/A,FALSE,"Extra OOLO";#N/A,#N/A,FALSE,"Extra OOEA";#N/A,#N/A,FALSE,"Extra OEOM";#N/A,#N/A,FALSE,"Extra OOE";#N/A,#N/A,FALSE,"Extra OOEE";#N/A,#N/A,FALSE,"Extra OERM";#N/A,#N/A,FALSE,"Extra POOL"}</definedName>
    <definedName name="wrn.Imprimir._.seções." localSheetId="10" hidden="1">{#N/A,#N/A,FALSE,"OORS";#N/A,#N/A,FALSE,"OEOT Ferrovia";#N/A,#N/A,FALSE,"OEOT Manobreiro";#N/A,#N/A,FALSE,"OEOT Rodovia";#N/A,#N/A,FALSE,"OEOT Bota Fora";#N/A,#N/A,FALSE,"OORQ";#N/A,#N/A,FALSE,"OORF Apoio";#N/A,#N/A,FALSE,"OORF Canaleiro";#N/A,#N/A,FALSE,"OORC";#N/A,#N/A,FALSE,"OOLO";#N/A,#N/A,FALSE,"OOEA";#N/A,#N/A,FALSE,"OEOM";#N/A,#N/A,FALSE,"OOE";#N/A,#N/A,FALSE,"OOEE";#N/A,#N/A,FALSE,"OERM";#N/A,#N/A,FALSE,"POOL";#N/A,#N/A,FALSE,"Extra OORS";#N/A,#N/A,FALSE,"Extra OEOT Ferrovia";#N/A,#N/A,FALSE,"Extra OEOT Manobreiro";#N/A,#N/A,FALSE,"Extra OEOT Rodovia";#N/A,#N/A,FALSE,"Extra OEOT Bota Fora";#N/A,#N/A,FALSE,"Extra OORQ";#N/A,#N/A,FALSE,"Extra OORF Apoio";#N/A,#N/A,FALSE,"Extra OORF Canaleiro";#N/A,#N/A,FALSE,"Extra OORC";#N/A,#N/A,FALSE,"Extra OOLO";#N/A,#N/A,FALSE,"Extra OOEA";#N/A,#N/A,FALSE,"Extra OEOM";#N/A,#N/A,FALSE,"Extra OOE";#N/A,#N/A,FALSE,"Extra OOEE";#N/A,#N/A,FALSE,"Extra OERM";#N/A,#N/A,FALSE,"Extra POOL"}</definedName>
    <definedName name="wrn.Imprimir._.seções." localSheetId="11" hidden="1">{#N/A,#N/A,FALSE,"OORS";#N/A,#N/A,FALSE,"OEOT Ferrovia";#N/A,#N/A,FALSE,"OEOT Manobreiro";#N/A,#N/A,FALSE,"OEOT Rodovia";#N/A,#N/A,FALSE,"OEOT Bota Fora";#N/A,#N/A,FALSE,"OORQ";#N/A,#N/A,FALSE,"OORF Apoio";#N/A,#N/A,FALSE,"OORF Canaleiro";#N/A,#N/A,FALSE,"OORC";#N/A,#N/A,FALSE,"OOLO";#N/A,#N/A,FALSE,"OOEA";#N/A,#N/A,FALSE,"OEOM";#N/A,#N/A,FALSE,"OOE";#N/A,#N/A,FALSE,"OOEE";#N/A,#N/A,FALSE,"OERM";#N/A,#N/A,FALSE,"POOL";#N/A,#N/A,FALSE,"Extra OORS";#N/A,#N/A,FALSE,"Extra OEOT Ferrovia";#N/A,#N/A,FALSE,"Extra OEOT Manobreiro";#N/A,#N/A,FALSE,"Extra OEOT Rodovia";#N/A,#N/A,FALSE,"Extra OEOT Bota Fora";#N/A,#N/A,FALSE,"Extra OORQ";#N/A,#N/A,FALSE,"Extra OORF Apoio";#N/A,#N/A,FALSE,"Extra OORF Canaleiro";#N/A,#N/A,FALSE,"Extra OORC";#N/A,#N/A,FALSE,"Extra OOLO";#N/A,#N/A,FALSE,"Extra OOEA";#N/A,#N/A,FALSE,"Extra OEOM";#N/A,#N/A,FALSE,"Extra OOE";#N/A,#N/A,FALSE,"Extra OOEE";#N/A,#N/A,FALSE,"Extra OERM";#N/A,#N/A,FALSE,"Extra POOL"}</definedName>
    <definedName name="wrn.Imprimir._.seções." localSheetId="5" hidden="1">{#N/A,#N/A,FALSE,"OORS";#N/A,#N/A,FALSE,"OEOT Ferrovia";#N/A,#N/A,FALSE,"OEOT Manobreiro";#N/A,#N/A,FALSE,"OEOT Rodovia";#N/A,#N/A,FALSE,"OEOT Bota Fora";#N/A,#N/A,FALSE,"OORQ";#N/A,#N/A,FALSE,"OORF Apoio";#N/A,#N/A,FALSE,"OORF Canaleiro";#N/A,#N/A,FALSE,"OORC";#N/A,#N/A,FALSE,"OOLO";#N/A,#N/A,FALSE,"OOEA";#N/A,#N/A,FALSE,"OEOM";#N/A,#N/A,FALSE,"OOE";#N/A,#N/A,FALSE,"OOEE";#N/A,#N/A,FALSE,"OERM";#N/A,#N/A,FALSE,"POOL";#N/A,#N/A,FALSE,"Extra OORS";#N/A,#N/A,FALSE,"Extra OEOT Ferrovia";#N/A,#N/A,FALSE,"Extra OEOT Manobreiro";#N/A,#N/A,FALSE,"Extra OEOT Rodovia";#N/A,#N/A,FALSE,"Extra OEOT Bota Fora";#N/A,#N/A,FALSE,"Extra OORQ";#N/A,#N/A,FALSE,"Extra OORF Apoio";#N/A,#N/A,FALSE,"Extra OORF Canaleiro";#N/A,#N/A,FALSE,"Extra OORC";#N/A,#N/A,FALSE,"Extra OOLO";#N/A,#N/A,FALSE,"Extra OOEA";#N/A,#N/A,FALSE,"Extra OEOM";#N/A,#N/A,FALSE,"Extra OOE";#N/A,#N/A,FALSE,"Extra OOEE";#N/A,#N/A,FALSE,"Extra OERM";#N/A,#N/A,FALSE,"Extra POOL"}</definedName>
    <definedName name="wrn.Imprimir._.seções." localSheetId="4" hidden="1">{#N/A,#N/A,FALSE,"OORS";#N/A,#N/A,FALSE,"OEOT Ferrovia";#N/A,#N/A,FALSE,"OEOT Manobreiro";#N/A,#N/A,FALSE,"OEOT Rodovia";#N/A,#N/A,FALSE,"OEOT Bota Fora";#N/A,#N/A,FALSE,"OORQ";#N/A,#N/A,FALSE,"OORF Apoio";#N/A,#N/A,FALSE,"OORF Canaleiro";#N/A,#N/A,FALSE,"OORC";#N/A,#N/A,FALSE,"OOLO";#N/A,#N/A,FALSE,"OOEA";#N/A,#N/A,FALSE,"OEOM";#N/A,#N/A,FALSE,"OOE";#N/A,#N/A,FALSE,"OOEE";#N/A,#N/A,FALSE,"OERM";#N/A,#N/A,FALSE,"POOL";#N/A,#N/A,FALSE,"Extra OORS";#N/A,#N/A,FALSE,"Extra OEOT Ferrovia";#N/A,#N/A,FALSE,"Extra OEOT Manobreiro";#N/A,#N/A,FALSE,"Extra OEOT Rodovia";#N/A,#N/A,FALSE,"Extra OEOT Bota Fora";#N/A,#N/A,FALSE,"Extra OORQ";#N/A,#N/A,FALSE,"Extra OORF Apoio";#N/A,#N/A,FALSE,"Extra OORF Canaleiro";#N/A,#N/A,FALSE,"Extra OORC";#N/A,#N/A,FALSE,"Extra OOLO";#N/A,#N/A,FALSE,"Extra OOEA";#N/A,#N/A,FALSE,"Extra OEOM";#N/A,#N/A,FALSE,"Extra OOE";#N/A,#N/A,FALSE,"Extra OOEE";#N/A,#N/A,FALSE,"Extra OERM";#N/A,#N/A,FALSE,"Extra POOL"}</definedName>
    <definedName name="wrn.Imprimir._.seções." hidden="1">{#N/A,#N/A,FALSE,"OORS";#N/A,#N/A,FALSE,"OEOT Ferrovia";#N/A,#N/A,FALSE,"OEOT Manobreiro";#N/A,#N/A,FALSE,"OEOT Rodovia";#N/A,#N/A,FALSE,"OEOT Bota Fora";#N/A,#N/A,FALSE,"OORQ";#N/A,#N/A,FALSE,"OORF Apoio";#N/A,#N/A,FALSE,"OORF Canaleiro";#N/A,#N/A,FALSE,"OORC";#N/A,#N/A,FALSE,"OOLO";#N/A,#N/A,FALSE,"OOEA";#N/A,#N/A,FALSE,"OEOM";#N/A,#N/A,FALSE,"OOE";#N/A,#N/A,FALSE,"OOEE";#N/A,#N/A,FALSE,"OERM";#N/A,#N/A,FALSE,"POOL";#N/A,#N/A,FALSE,"Extra OORS";#N/A,#N/A,FALSE,"Extra OEOT Ferrovia";#N/A,#N/A,FALSE,"Extra OEOT Manobreiro";#N/A,#N/A,FALSE,"Extra OEOT Rodovia";#N/A,#N/A,FALSE,"Extra OEOT Bota Fora";#N/A,#N/A,FALSE,"Extra OORQ";#N/A,#N/A,FALSE,"Extra OORF Apoio";#N/A,#N/A,FALSE,"Extra OORF Canaleiro";#N/A,#N/A,FALSE,"Extra OORC";#N/A,#N/A,FALSE,"Extra OOLO";#N/A,#N/A,FALSE,"Extra OOEA";#N/A,#N/A,FALSE,"Extra OEOM";#N/A,#N/A,FALSE,"Extra OOE";#N/A,#N/A,FALSE,"Extra OOEE";#N/A,#N/A,FALSE,"Extra OERM";#N/A,#N/A,FALSE,"Extra POOL"}</definedName>
    <definedName name="wrn.INT.._.MELLOMV." localSheetId="3" hidden="1">{#N/A,#N/A,FALSE,"Skjema 6.5"}</definedName>
    <definedName name="wrn.INT.._.MELLOMV." localSheetId="6" hidden="1">{#N/A,#N/A,FALSE,"Skjema 6.5"}</definedName>
    <definedName name="wrn.INT.._.MELLOMV." localSheetId="7" hidden="1">{#N/A,#N/A,FALSE,"Skjema 6.5"}</definedName>
    <definedName name="wrn.INT.._.MELLOMV." localSheetId="10" hidden="1">{#N/A,#N/A,FALSE,"Skjema 6.5"}</definedName>
    <definedName name="wrn.INT.._.MELLOMV." localSheetId="11" hidden="1">{#N/A,#N/A,FALSE,"Skjema 6.5"}</definedName>
    <definedName name="wrn.INT.._.MELLOMV." localSheetId="5" hidden="1">{#N/A,#N/A,FALSE,"Skjema 6.5"}</definedName>
    <definedName name="wrn.INT.._.MELLOMV." localSheetId="4" hidden="1">{#N/A,#N/A,FALSE,"Skjema 6.5"}</definedName>
    <definedName name="wrn.INT.._.MELLOMV." hidden="1">{#N/A,#N/A,FALSE,"Skjema 6.5"}</definedName>
    <definedName name="wrn.INVESTIMENTOS._.CORRENTES." localSheetId="3" hidden="1">{#N/A,#N/A,FALSE,"Suprimentos";#N/A,#N/A,FALSE,"Medicina e Segurança";#N/A,#N/A,FALSE,"Administração";#N/A,#N/A,FALSE,"Meio Ambiente";#N/A,#N/A,FALSE,"Operação (Mina)";#N/A,#N/A,FALSE,"Operação (Porto)"}</definedName>
    <definedName name="wrn.INVESTIMENTOS._.CORRENTES." localSheetId="6" hidden="1">{#N/A,#N/A,FALSE,"Suprimentos";#N/A,#N/A,FALSE,"Medicina e Segurança";#N/A,#N/A,FALSE,"Administração";#N/A,#N/A,FALSE,"Meio Ambiente";#N/A,#N/A,FALSE,"Operação (Mina)";#N/A,#N/A,FALSE,"Operação (Porto)"}</definedName>
    <definedName name="wrn.INVESTIMENTOS._.CORRENTES." localSheetId="7" hidden="1">{#N/A,#N/A,FALSE,"Suprimentos";#N/A,#N/A,FALSE,"Medicina e Segurança";#N/A,#N/A,FALSE,"Administração";#N/A,#N/A,FALSE,"Meio Ambiente";#N/A,#N/A,FALSE,"Operação (Mina)";#N/A,#N/A,FALSE,"Operação (Porto)"}</definedName>
    <definedName name="wrn.INVESTIMENTOS._.CORRENTES." localSheetId="10" hidden="1">{#N/A,#N/A,FALSE,"Suprimentos";#N/A,#N/A,FALSE,"Medicina e Segurança";#N/A,#N/A,FALSE,"Administração";#N/A,#N/A,FALSE,"Meio Ambiente";#N/A,#N/A,FALSE,"Operação (Mina)";#N/A,#N/A,FALSE,"Operação (Porto)"}</definedName>
    <definedName name="wrn.INVESTIMENTOS._.CORRENTES." localSheetId="11" hidden="1">{#N/A,#N/A,FALSE,"Suprimentos";#N/A,#N/A,FALSE,"Medicina e Segurança";#N/A,#N/A,FALSE,"Administração";#N/A,#N/A,FALSE,"Meio Ambiente";#N/A,#N/A,FALSE,"Operação (Mina)";#N/A,#N/A,FALSE,"Operação (Porto)"}</definedName>
    <definedName name="wrn.INVESTIMENTOS._.CORRENTES." localSheetId="5" hidden="1">{#N/A,#N/A,FALSE,"Suprimentos";#N/A,#N/A,FALSE,"Medicina e Segurança";#N/A,#N/A,FALSE,"Administração";#N/A,#N/A,FALSE,"Meio Ambiente";#N/A,#N/A,FALSE,"Operação (Mina)";#N/A,#N/A,FALSE,"Operação (Porto)"}</definedName>
    <definedName name="wrn.INVESTIMENTOS._.CORRENTES." localSheetId="4" hidden="1">{#N/A,#N/A,FALSE,"Suprimentos";#N/A,#N/A,FALSE,"Medicina e Segurança";#N/A,#N/A,FALSE,"Administração";#N/A,#N/A,FALSE,"Meio Ambiente";#N/A,#N/A,FALSE,"Operação (Mina)";#N/A,#N/A,FALSE,"Operação (Porto)"}</definedName>
    <definedName name="wrn.INVESTIMENTOS._.CORRENTES." hidden="1">{#N/A,#N/A,FALSE,"Suprimentos";#N/A,#N/A,FALSE,"Medicina e Segurança";#N/A,#N/A,FALSE,"Administração";#N/A,#N/A,FALSE,"Meio Ambiente";#N/A,#N/A,FALSE,"Operação (Mina)";#N/A,#N/A,FALSE,"Operação (Porto)"}</definedName>
    <definedName name="wrn.julio24." localSheetId="3" hidden="1">{#N/A,#N/A,FALSE,"310.1";#N/A,#N/A,FALSE,"321.1";#N/A,#N/A,FALSE,"320.3";#N/A,#N/A,FALSE,"330.1"}</definedName>
    <definedName name="wrn.julio24." localSheetId="6" hidden="1">{#N/A,#N/A,FALSE,"310.1";#N/A,#N/A,FALSE,"321.1";#N/A,#N/A,FALSE,"320.3";#N/A,#N/A,FALSE,"330.1"}</definedName>
    <definedName name="wrn.julio24." localSheetId="7" hidden="1">{#N/A,#N/A,FALSE,"310.1";#N/A,#N/A,FALSE,"321.1";#N/A,#N/A,FALSE,"320.3";#N/A,#N/A,FALSE,"330.1"}</definedName>
    <definedName name="wrn.julio24." localSheetId="10" hidden="1">{#N/A,#N/A,FALSE,"310.1";#N/A,#N/A,FALSE,"321.1";#N/A,#N/A,FALSE,"320.3";#N/A,#N/A,FALSE,"330.1"}</definedName>
    <definedName name="wrn.julio24." localSheetId="11" hidden="1">{#N/A,#N/A,FALSE,"310.1";#N/A,#N/A,FALSE,"321.1";#N/A,#N/A,FALSE,"320.3";#N/A,#N/A,FALSE,"330.1"}</definedName>
    <definedName name="wrn.julio24." localSheetId="5" hidden="1">{#N/A,#N/A,FALSE,"310.1";#N/A,#N/A,FALSE,"321.1";#N/A,#N/A,FALSE,"320.3";#N/A,#N/A,FALSE,"330.1"}</definedName>
    <definedName name="wrn.julio24." localSheetId="4" hidden="1">{#N/A,#N/A,FALSE,"310.1";#N/A,#N/A,FALSE,"321.1";#N/A,#N/A,FALSE,"320.3";#N/A,#N/A,FALSE,"330.1"}</definedName>
    <definedName name="wrn.julio24." hidden="1">{#N/A,#N/A,FALSE,"310.1";#N/A,#N/A,FALSE,"321.1";#N/A,#N/A,FALSE,"320.3";#N/A,#N/A,FALSE,"330.1"}</definedName>
    <definedName name="wrn.Medição._.Aciaria." localSheetId="3" hidden="1">{#N/A,#N/A,FALSE,"Cadastro";#N/A,#N/A,FALSE,"Diasmês";#N/A,#N/A,FALSE,"Refeição_3t";#N/A,#N/A,FALSE,"Refeição_Adm";#N/A,#N/A,FALSE,"Custo"}</definedName>
    <definedName name="wrn.Medição._.Aciaria." localSheetId="6" hidden="1">{#N/A,#N/A,FALSE,"Cadastro";#N/A,#N/A,FALSE,"Diasmês";#N/A,#N/A,FALSE,"Refeição_3t";#N/A,#N/A,FALSE,"Refeição_Adm";#N/A,#N/A,FALSE,"Custo"}</definedName>
    <definedName name="wrn.Medição._.Aciaria." localSheetId="7" hidden="1">{#N/A,#N/A,FALSE,"Cadastro";#N/A,#N/A,FALSE,"Diasmês";#N/A,#N/A,FALSE,"Refeição_3t";#N/A,#N/A,FALSE,"Refeição_Adm";#N/A,#N/A,FALSE,"Custo"}</definedName>
    <definedName name="wrn.Medição._.Aciaria." localSheetId="10" hidden="1">{#N/A,#N/A,FALSE,"Cadastro";#N/A,#N/A,FALSE,"Diasmês";#N/A,#N/A,FALSE,"Refeição_3t";#N/A,#N/A,FALSE,"Refeição_Adm";#N/A,#N/A,FALSE,"Custo"}</definedName>
    <definedName name="wrn.Medição._.Aciaria." localSheetId="11" hidden="1">{#N/A,#N/A,FALSE,"Cadastro";#N/A,#N/A,FALSE,"Diasmês";#N/A,#N/A,FALSE,"Refeição_3t";#N/A,#N/A,FALSE,"Refeição_Adm";#N/A,#N/A,FALSE,"Custo"}</definedName>
    <definedName name="wrn.Medição._.Aciaria." localSheetId="5" hidden="1">{#N/A,#N/A,FALSE,"Cadastro";#N/A,#N/A,FALSE,"Diasmês";#N/A,#N/A,FALSE,"Refeição_3t";#N/A,#N/A,FALSE,"Refeição_Adm";#N/A,#N/A,FALSE,"Custo"}</definedName>
    <definedName name="wrn.Medição._.Aciaria." localSheetId="4" hidden="1">{#N/A,#N/A,FALSE,"Cadastro";#N/A,#N/A,FALSE,"Diasmês";#N/A,#N/A,FALSE,"Refeição_3t";#N/A,#N/A,FALSE,"Refeição_Adm";#N/A,#N/A,FALSE,"Custo"}</definedName>
    <definedName name="wrn.Medição._.Aciaria." hidden="1">{#N/A,#N/A,FALSE,"Cadastro";#N/A,#N/A,FALSE,"Diasmês";#N/A,#N/A,FALSE,"Refeição_3t";#N/A,#N/A,FALSE,"Refeição_Adm";#N/A,#N/A,FALSE,"Custo"}</definedName>
    <definedName name="wrn.Model." localSheetId="3"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wrn.Model." localSheetId="6"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wrn.Model." localSheetId="7"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wrn.Model." localSheetId="10"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wrn.Model." localSheetId="11"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wrn.Model." localSheetId="5"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wrn.Model." localSheetId="4"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wrn.Model." hidden="1">{#N/A,#N/A,TRUE,"TOC";#N/A,#N/A,TRUE,"Inputs";#N/A,#N/A,TRUE,"Debt";#N/A,#N/A,TRUE,"CashFlo";#N/A,#N/A,TRUE,"Prices";#N/A,#N/A,TRUE,"Operations";#N/A,#N/A,TRUE,"GAAP Income";#N/A,#N/A,TRUE,"GAAP Balance";#N/A,#N/A,TRUE,"D&amp;A";#N/A,#N/A,TRUE,"Revolving Working Capital";#N/A,#N/A,TRUE,"Work.Cap.";#N/A,#N/A,TRUE,"Tax Inputs";#N/A,#N/A,TRUE,"Ven Cash Flow";#N/A,#N/A,TRUE,"Ven Income Tax";#N/A,#N/A,TRUE,"Ven Vat";#N/A,#N/A,TRUE,"Ven Balance"}</definedName>
    <definedName name="wrn.Ocorrencias._.Acabamento." localSheetId="3" hidden="1">{#N/A,#N/A,FALSE,"Ocorrência OOLA";#N/A,#N/A,FALSE,"Ocorrência OOLL";#N/A,#N/A,FALSE,"Extra OOLA";#N/A,#N/A,FALSE,"Extra OOLL"}</definedName>
    <definedName name="wrn.Ocorrencias._.Acabamento." localSheetId="6" hidden="1">{#N/A,#N/A,FALSE,"Ocorrência OOLA";#N/A,#N/A,FALSE,"Ocorrência OOLL";#N/A,#N/A,FALSE,"Extra OOLA";#N/A,#N/A,FALSE,"Extra OOLL"}</definedName>
    <definedName name="wrn.Ocorrencias._.Acabamento." localSheetId="7" hidden="1">{#N/A,#N/A,FALSE,"Ocorrência OOLA";#N/A,#N/A,FALSE,"Ocorrência OOLL";#N/A,#N/A,FALSE,"Extra OOLA";#N/A,#N/A,FALSE,"Extra OOLL"}</definedName>
    <definedName name="wrn.Ocorrencias._.Acabamento." localSheetId="10" hidden="1">{#N/A,#N/A,FALSE,"Ocorrência OOLA";#N/A,#N/A,FALSE,"Ocorrência OOLL";#N/A,#N/A,FALSE,"Extra OOLA";#N/A,#N/A,FALSE,"Extra OOLL"}</definedName>
    <definedName name="wrn.Ocorrencias._.Acabamento." localSheetId="11" hidden="1">{#N/A,#N/A,FALSE,"Ocorrência OOLA";#N/A,#N/A,FALSE,"Ocorrência OOLL";#N/A,#N/A,FALSE,"Extra OOLA";#N/A,#N/A,FALSE,"Extra OOLL"}</definedName>
    <definedName name="wrn.Ocorrencias._.Acabamento." localSheetId="5" hidden="1">{#N/A,#N/A,FALSE,"Ocorrência OOLA";#N/A,#N/A,FALSE,"Ocorrência OOLL";#N/A,#N/A,FALSE,"Extra OOLA";#N/A,#N/A,FALSE,"Extra OOLL"}</definedName>
    <definedName name="wrn.Ocorrencias._.Acabamento." localSheetId="4" hidden="1">{#N/A,#N/A,FALSE,"Ocorrência OOLA";#N/A,#N/A,FALSE,"Ocorrência OOLL";#N/A,#N/A,FALSE,"Extra OOLA";#N/A,#N/A,FALSE,"Extra OOLL"}</definedName>
    <definedName name="wrn.Ocorrencias._.Acabamento." hidden="1">{#N/A,#N/A,FALSE,"Ocorrência OOLA";#N/A,#N/A,FALSE,"Ocorrência OOLL";#N/A,#N/A,FALSE,"Extra OOLA";#N/A,#N/A,FALSE,"Extra OOLL"}</definedName>
    <definedName name="wrn.OS." localSheetId="3" hidden="1">{#N/A,#N/A,FALSE,"Anexo I";#N/A,#N/A,FALSE,"Anexo II";#N/A,#N/A,FALSE,"Anexo III OS01";#N/A,#N/A,FALSE,"Anexo III OS02"}</definedName>
    <definedName name="wrn.OS." localSheetId="6" hidden="1">{#N/A,#N/A,FALSE,"Anexo I";#N/A,#N/A,FALSE,"Anexo II";#N/A,#N/A,FALSE,"Anexo III OS01";#N/A,#N/A,FALSE,"Anexo III OS02"}</definedName>
    <definedName name="wrn.OS." localSheetId="7" hidden="1">{#N/A,#N/A,FALSE,"Anexo I";#N/A,#N/A,FALSE,"Anexo II";#N/A,#N/A,FALSE,"Anexo III OS01";#N/A,#N/A,FALSE,"Anexo III OS02"}</definedName>
    <definedName name="wrn.OS." localSheetId="10" hidden="1">{#N/A,#N/A,FALSE,"Anexo I";#N/A,#N/A,FALSE,"Anexo II";#N/A,#N/A,FALSE,"Anexo III OS01";#N/A,#N/A,FALSE,"Anexo III OS02"}</definedName>
    <definedName name="wrn.OS." localSheetId="11" hidden="1">{#N/A,#N/A,FALSE,"Anexo I";#N/A,#N/A,FALSE,"Anexo II";#N/A,#N/A,FALSE,"Anexo III OS01";#N/A,#N/A,FALSE,"Anexo III OS02"}</definedName>
    <definedName name="wrn.OS." localSheetId="5" hidden="1">{#N/A,#N/A,FALSE,"Anexo I";#N/A,#N/A,FALSE,"Anexo II";#N/A,#N/A,FALSE,"Anexo III OS01";#N/A,#N/A,FALSE,"Anexo III OS02"}</definedName>
    <definedName name="wrn.OS." localSheetId="4" hidden="1">{#N/A,#N/A,FALSE,"Anexo I";#N/A,#N/A,FALSE,"Anexo II";#N/A,#N/A,FALSE,"Anexo III OS01";#N/A,#N/A,FALSE,"Anexo III OS02"}</definedName>
    <definedName name="wrn.OS." hidden="1">{#N/A,#N/A,FALSE,"Anexo I";#N/A,#N/A,FALSE,"Anexo II";#N/A,#N/A,FALSE,"Anexo III OS01";#N/A,#N/A,FALSE,"Anexo III OS02"}</definedName>
    <definedName name="wrn.PENDENCIAS." localSheetId="3" hidden="1">{#N/A,#N/A,FALSE,"GERAL";#N/A,#N/A,FALSE,"012-96";#N/A,#N/A,FALSE,"018-96";#N/A,#N/A,FALSE,"027-96";#N/A,#N/A,FALSE,"059-96";#N/A,#N/A,FALSE,"076-96";#N/A,#N/A,FALSE,"019-97";#N/A,#N/A,FALSE,"021-97";#N/A,#N/A,FALSE,"022-97";#N/A,#N/A,FALSE,"028-97"}</definedName>
    <definedName name="wrn.PENDENCIAS." localSheetId="6" hidden="1">{#N/A,#N/A,FALSE,"GERAL";#N/A,#N/A,FALSE,"012-96";#N/A,#N/A,FALSE,"018-96";#N/A,#N/A,FALSE,"027-96";#N/A,#N/A,FALSE,"059-96";#N/A,#N/A,FALSE,"076-96";#N/A,#N/A,FALSE,"019-97";#N/A,#N/A,FALSE,"021-97";#N/A,#N/A,FALSE,"022-97";#N/A,#N/A,FALSE,"028-97"}</definedName>
    <definedName name="wrn.PENDENCIAS." localSheetId="7" hidden="1">{#N/A,#N/A,FALSE,"GERAL";#N/A,#N/A,FALSE,"012-96";#N/A,#N/A,FALSE,"018-96";#N/A,#N/A,FALSE,"027-96";#N/A,#N/A,FALSE,"059-96";#N/A,#N/A,FALSE,"076-96";#N/A,#N/A,FALSE,"019-97";#N/A,#N/A,FALSE,"021-97";#N/A,#N/A,FALSE,"022-97";#N/A,#N/A,FALSE,"028-97"}</definedName>
    <definedName name="wrn.PENDENCIAS." localSheetId="10" hidden="1">{#N/A,#N/A,FALSE,"GERAL";#N/A,#N/A,FALSE,"012-96";#N/A,#N/A,FALSE,"018-96";#N/A,#N/A,FALSE,"027-96";#N/A,#N/A,FALSE,"059-96";#N/A,#N/A,FALSE,"076-96";#N/A,#N/A,FALSE,"019-97";#N/A,#N/A,FALSE,"021-97";#N/A,#N/A,FALSE,"022-97";#N/A,#N/A,FALSE,"028-97"}</definedName>
    <definedName name="wrn.PENDENCIAS." localSheetId="11" hidden="1">{#N/A,#N/A,FALSE,"GERAL";#N/A,#N/A,FALSE,"012-96";#N/A,#N/A,FALSE,"018-96";#N/A,#N/A,FALSE,"027-96";#N/A,#N/A,FALSE,"059-96";#N/A,#N/A,FALSE,"076-96";#N/A,#N/A,FALSE,"019-97";#N/A,#N/A,FALSE,"021-97";#N/A,#N/A,FALSE,"022-97";#N/A,#N/A,FALSE,"028-97"}</definedName>
    <definedName name="wrn.PENDENCIAS." localSheetId="5" hidden="1">{#N/A,#N/A,FALSE,"GERAL";#N/A,#N/A,FALSE,"012-96";#N/A,#N/A,FALSE,"018-96";#N/A,#N/A,FALSE,"027-96";#N/A,#N/A,FALSE,"059-96";#N/A,#N/A,FALSE,"076-96";#N/A,#N/A,FALSE,"019-97";#N/A,#N/A,FALSE,"021-97";#N/A,#N/A,FALSE,"022-97";#N/A,#N/A,FALSE,"028-97"}</definedName>
    <definedName name="wrn.PENDENCIAS." localSheetId="4" hidden="1">{#N/A,#N/A,FALSE,"GERAL";#N/A,#N/A,FALSE,"012-96";#N/A,#N/A,FALSE,"018-96";#N/A,#N/A,FALSE,"027-96";#N/A,#N/A,FALSE,"059-96";#N/A,#N/A,FALSE,"076-96";#N/A,#N/A,FALSE,"019-97";#N/A,#N/A,FALSE,"021-97";#N/A,#N/A,FALSE,"022-97";#N/A,#N/A,FALSE,"028-97"}</definedName>
    <definedName name="wrn.PENDENCIAS." hidden="1">{#N/A,#N/A,FALSE,"GERAL";#N/A,#N/A,FALSE,"012-96";#N/A,#N/A,FALSE,"018-96";#N/A,#N/A,FALSE,"027-96";#N/A,#N/A,FALSE,"059-96";#N/A,#N/A,FALSE,"076-96";#N/A,#N/A,FALSE,"019-97";#N/A,#N/A,FALSE,"021-97";#N/A,#N/A,FALSE,"022-97";#N/A,#N/A,FALSE,"028-97"}</definedName>
    <definedName name="wrn.Pèrdues._.i._.G.._.analític." localSheetId="3" hidden="1">{"Pèrdues i Guanys analític.Català",#N/A,FALSE,"Català";"Pèrdues i G. analític.castellà",#N/A,FALSE,"Castellà"}</definedName>
    <definedName name="wrn.Pèrdues._.i._.G.._.analític." localSheetId="6" hidden="1">{"Pèrdues i Guanys analític.Català",#N/A,FALSE,"Català";"Pèrdues i G. analític.castellà",#N/A,FALSE,"Castellà"}</definedName>
    <definedName name="wrn.Pèrdues._.i._.G.._.analític." localSheetId="7" hidden="1">{"Pèrdues i Guanys analític.Català",#N/A,FALSE,"Català";"Pèrdues i G. analític.castellà",#N/A,FALSE,"Castellà"}</definedName>
    <definedName name="wrn.Pèrdues._.i._.G.._.analític." localSheetId="10" hidden="1">{"Pèrdues i Guanys analític.Català",#N/A,FALSE,"Català";"Pèrdues i G. analític.castellà",#N/A,FALSE,"Castellà"}</definedName>
    <definedName name="wrn.Pèrdues._.i._.G.._.analític." localSheetId="11" hidden="1">{"Pèrdues i Guanys analític.Català",#N/A,FALSE,"Català";"Pèrdues i G. analític.castellà",#N/A,FALSE,"Castellà"}</definedName>
    <definedName name="wrn.Pèrdues._.i._.G.._.analític." localSheetId="5" hidden="1">{"Pèrdues i Guanys analític.Català",#N/A,FALSE,"Català";"Pèrdues i G. analític.castellà",#N/A,FALSE,"Castellà"}</definedName>
    <definedName name="wrn.Pèrdues._.i._.G.._.analític." localSheetId="4" hidden="1">{"Pèrdues i Guanys analític.Català",#N/A,FALSE,"Català";"Pèrdues i G. analític.castellà",#N/A,FALSE,"Castellà"}</definedName>
    <definedName name="wrn.Pèrdues._.i._.G.._.analític." hidden="1">{"Pèrdues i Guanys analític.Català",#N/A,FALSE,"Català";"Pèrdues i G. analític.castellà",#N/A,FALSE,"Castellà"}</definedName>
    <definedName name="wrn.Print." localSheetId="3" hidden="1">{"vi1",#N/A,FALSE,"Financial Statements";"vi2",#N/A,FALSE,"Financial Statements";#N/A,#N/A,FALSE,"DCF"}</definedName>
    <definedName name="wrn.Print." localSheetId="6" hidden="1">{"vi1",#N/A,FALSE,"Financial Statements";"vi2",#N/A,FALSE,"Financial Statements";#N/A,#N/A,FALSE,"DCF"}</definedName>
    <definedName name="wrn.Print." localSheetId="7" hidden="1">{"vi1",#N/A,FALSE,"Financial Statements";"vi2",#N/A,FALSE,"Financial Statements";#N/A,#N/A,FALSE,"DCF"}</definedName>
    <definedName name="wrn.Print." localSheetId="10" hidden="1">{"vi1",#N/A,FALSE,"Financial Statements";"vi2",#N/A,FALSE,"Financial Statements";#N/A,#N/A,FALSE,"DCF"}</definedName>
    <definedName name="wrn.Print." localSheetId="11" hidden="1">{"vi1",#N/A,FALSE,"Financial Statements";"vi2",#N/A,FALSE,"Financial Statements";#N/A,#N/A,FALSE,"DCF"}</definedName>
    <definedName name="wrn.Print." localSheetId="5" hidden="1">{"vi1",#N/A,FALSE,"Financial Statements";"vi2",#N/A,FALSE,"Financial Statements";#N/A,#N/A,FALSE,"DCF"}</definedName>
    <definedName name="wrn.Print." localSheetId="4" hidden="1">{"vi1",#N/A,FALSE,"Financial Statements";"vi2",#N/A,FALSE,"Financial Statements";#N/A,#N/A,FALSE,"DCF"}</definedName>
    <definedName name="wrn.Print." hidden="1">{"vi1",#N/A,FALSE,"Financial Statements";"vi2",#N/A,FALSE,"Financial Statements";#N/A,#N/A,FALSE,"DCF"}</definedName>
    <definedName name="wrn.Print._.All." localSheetId="3" hidden="1">{#N/A,#N/A,TRUE,"Commercial Intro";#N/A,#N/A,TRUE,"Summary Intro";#N/A,#N/A,TRUE,"Summary";#N/A,#N/A,TRUE,"TY (formulas)";#N/A,#N/A,TRUE,"Q1 (ACT)";#N/A,#N/A,TRUE,"Q2 (Act)";#N/A,#N/A,TRUE,"Q3 (IOP)";#N/A,#N/A,TRUE,"Q4 (IOP)";#N/A,#N/A,TRUE,"P&amp;L Reports";#N/A,#N/A,TRUE,"Locomotives";#N/A,#N/A,TRUE,"Modernizations";#N/A,#N/A,TRUE,"Repair Services";#N/A,#N/A,TRUE,"Parts";#N/A,#N/A,TRUE,"Signaling Projects";#N/A,#N/A,TRUE,"Signaling Products";#N/A,#N/A,TRUE,"MSA";#N/A,#N/A,TRUE,"Gevisa";#N/A,#N/A,TRUE,"TST Reports";#N/A,#N/A,TRUE,"BNSF";#N/A,#N/A,TRUE,"NS";#N/A,#N/A,TRUE,"UP";#N/A,#N/A,TRUE,"CXS";#N/A,#N/A,TRUE,"CP";#N/A,#N/A,TRUE,"CN";#N/A,#N/A,TRUE,"Other US Shortlines";#N/A,#N/A,TRUE,"Latin America";#N/A,#N/A,TRUE,"NA Passenger";#N/A,#N/A,TRUE,"WE, Africa, ME";#N/A,#N/A,TRUE,"Eastern Europe, Russia";#N/A,#N/A,TRUE,"India &amp; W Asia";#N/A,#N/A,TRUE,"SE Asia"}</definedName>
    <definedName name="wrn.Print._.All." localSheetId="6" hidden="1">{#N/A,#N/A,TRUE,"Commercial Intro";#N/A,#N/A,TRUE,"Summary Intro";#N/A,#N/A,TRUE,"Summary";#N/A,#N/A,TRUE,"TY (formulas)";#N/A,#N/A,TRUE,"Q1 (ACT)";#N/A,#N/A,TRUE,"Q2 (Act)";#N/A,#N/A,TRUE,"Q3 (IOP)";#N/A,#N/A,TRUE,"Q4 (IOP)";#N/A,#N/A,TRUE,"P&amp;L Reports";#N/A,#N/A,TRUE,"Locomotives";#N/A,#N/A,TRUE,"Modernizations";#N/A,#N/A,TRUE,"Repair Services";#N/A,#N/A,TRUE,"Parts";#N/A,#N/A,TRUE,"Signaling Projects";#N/A,#N/A,TRUE,"Signaling Products";#N/A,#N/A,TRUE,"MSA";#N/A,#N/A,TRUE,"Gevisa";#N/A,#N/A,TRUE,"TST Reports";#N/A,#N/A,TRUE,"BNSF";#N/A,#N/A,TRUE,"NS";#N/A,#N/A,TRUE,"UP";#N/A,#N/A,TRUE,"CXS";#N/A,#N/A,TRUE,"CP";#N/A,#N/A,TRUE,"CN";#N/A,#N/A,TRUE,"Other US Shortlines";#N/A,#N/A,TRUE,"Latin America";#N/A,#N/A,TRUE,"NA Passenger";#N/A,#N/A,TRUE,"WE, Africa, ME";#N/A,#N/A,TRUE,"Eastern Europe, Russia";#N/A,#N/A,TRUE,"India &amp; W Asia";#N/A,#N/A,TRUE,"SE Asia"}</definedName>
    <definedName name="wrn.Print._.All." localSheetId="7" hidden="1">{#N/A,#N/A,TRUE,"Commercial Intro";#N/A,#N/A,TRUE,"Summary Intro";#N/A,#N/A,TRUE,"Summary";#N/A,#N/A,TRUE,"TY (formulas)";#N/A,#N/A,TRUE,"Q1 (ACT)";#N/A,#N/A,TRUE,"Q2 (Act)";#N/A,#N/A,TRUE,"Q3 (IOP)";#N/A,#N/A,TRUE,"Q4 (IOP)";#N/A,#N/A,TRUE,"P&amp;L Reports";#N/A,#N/A,TRUE,"Locomotives";#N/A,#N/A,TRUE,"Modernizations";#N/A,#N/A,TRUE,"Repair Services";#N/A,#N/A,TRUE,"Parts";#N/A,#N/A,TRUE,"Signaling Projects";#N/A,#N/A,TRUE,"Signaling Products";#N/A,#N/A,TRUE,"MSA";#N/A,#N/A,TRUE,"Gevisa";#N/A,#N/A,TRUE,"TST Reports";#N/A,#N/A,TRUE,"BNSF";#N/A,#N/A,TRUE,"NS";#N/A,#N/A,TRUE,"UP";#N/A,#N/A,TRUE,"CXS";#N/A,#N/A,TRUE,"CP";#N/A,#N/A,TRUE,"CN";#N/A,#N/A,TRUE,"Other US Shortlines";#N/A,#N/A,TRUE,"Latin America";#N/A,#N/A,TRUE,"NA Passenger";#N/A,#N/A,TRUE,"WE, Africa, ME";#N/A,#N/A,TRUE,"Eastern Europe, Russia";#N/A,#N/A,TRUE,"India &amp; W Asia";#N/A,#N/A,TRUE,"SE Asia"}</definedName>
    <definedName name="wrn.Print._.All." localSheetId="10" hidden="1">{#N/A,#N/A,TRUE,"Commercial Intro";#N/A,#N/A,TRUE,"Summary Intro";#N/A,#N/A,TRUE,"Summary";#N/A,#N/A,TRUE,"TY (formulas)";#N/A,#N/A,TRUE,"Q1 (ACT)";#N/A,#N/A,TRUE,"Q2 (Act)";#N/A,#N/A,TRUE,"Q3 (IOP)";#N/A,#N/A,TRUE,"Q4 (IOP)";#N/A,#N/A,TRUE,"P&amp;L Reports";#N/A,#N/A,TRUE,"Locomotives";#N/A,#N/A,TRUE,"Modernizations";#N/A,#N/A,TRUE,"Repair Services";#N/A,#N/A,TRUE,"Parts";#N/A,#N/A,TRUE,"Signaling Projects";#N/A,#N/A,TRUE,"Signaling Products";#N/A,#N/A,TRUE,"MSA";#N/A,#N/A,TRUE,"Gevisa";#N/A,#N/A,TRUE,"TST Reports";#N/A,#N/A,TRUE,"BNSF";#N/A,#N/A,TRUE,"NS";#N/A,#N/A,TRUE,"UP";#N/A,#N/A,TRUE,"CXS";#N/A,#N/A,TRUE,"CP";#N/A,#N/A,TRUE,"CN";#N/A,#N/A,TRUE,"Other US Shortlines";#N/A,#N/A,TRUE,"Latin America";#N/A,#N/A,TRUE,"NA Passenger";#N/A,#N/A,TRUE,"WE, Africa, ME";#N/A,#N/A,TRUE,"Eastern Europe, Russia";#N/A,#N/A,TRUE,"India &amp; W Asia";#N/A,#N/A,TRUE,"SE Asia"}</definedName>
    <definedName name="wrn.Print._.All." localSheetId="11" hidden="1">{#N/A,#N/A,TRUE,"Commercial Intro";#N/A,#N/A,TRUE,"Summary Intro";#N/A,#N/A,TRUE,"Summary";#N/A,#N/A,TRUE,"TY (formulas)";#N/A,#N/A,TRUE,"Q1 (ACT)";#N/A,#N/A,TRUE,"Q2 (Act)";#N/A,#N/A,TRUE,"Q3 (IOP)";#N/A,#N/A,TRUE,"Q4 (IOP)";#N/A,#N/A,TRUE,"P&amp;L Reports";#N/A,#N/A,TRUE,"Locomotives";#N/A,#N/A,TRUE,"Modernizations";#N/A,#N/A,TRUE,"Repair Services";#N/A,#N/A,TRUE,"Parts";#N/A,#N/A,TRUE,"Signaling Projects";#N/A,#N/A,TRUE,"Signaling Products";#N/A,#N/A,TRUE,"MSA";#N/A,#N/A,TRUE,"Gevisa";#N/A,#N/A,TRUE,"TST Reports";#N/A,#N/A,TRUE,"BNSF";#N/A,#N/A,TRUE,"NS";#N/A,#N/A,TRUE,"UP";#N/A,#N/A,TRUE,"CXS";#N/A,#N/A,TRUE,"CP";#N/A,#N/A,TRUE,"CN";#N/A,#N/A,TRUE,"Other US Shortlines";#N/A,#N/A,TRUE,"Latin America";#N/A,#N/A,TRUE,"NA Passenger";#N/A,#N/A,TRUE,"WE, Africa, ME";#N/A,#N/A,TRUE,"Eastern Europe, Russia";#N/A,#N/A,TRUE,"India &amp; W Asia";#N/A,#N/A,TRUE,"SE Asia"}</definedName>
    <definedName name="wrn.Print._.All." localSheetId="5" hidden="1">{#N/A,#N/A,TRUE,"Commercial Intro";#N/A,#N/A,TRUE,"Summary Intro";#N/A,#N/A,TRUE,"Summary";#N/A,#N/A,TRUE,"TY (formulas)";#N/A,#N/A,TRUE,"Q1 (ACT)";#N/A,#N/A,TRUE,"Q2 (Act)";#N/A,#N/A,TRUE,"Q3 (IOP)";#N/A,#N/A,TRUE,"Q4 (IOP)";#N/A,#N/A,TRUE,"P&amp;L Reports";#N/A,#N/A,TRUE,"Locomotives";#N/A,#N/A,TRUE,"Modernizations";#N/A,#N/A,TRUE,"Repair Services";#N/A,#N/A,TRUE,"Parts";#N/A,#N/A,TRUE,"Signaling Projects";#N/A,#N/A,TRUE,"Signaling Products";#N/A,#N/A,TRUE,"MSA";#N/A,#N/A,TRUE,"Gevisa";#N/A,#N/A,TRUE,"TST Reports";#N/A,#N/A,TRUE,"BNSF";#N/A,#N/A,TRUE,"NS";#N/A,#N/A,TRUE,"UP";#N/A,#N/A,TRUE,"CXS";#N/A,#N/A,TRUE,"CP";#N/A,#N/A,TRUE,"CN";#N/A,#N/A,TRUE,"Other US Shortlines";#N/A,#N/A,TRUE,"Latin America";#N/A,#N/A,TRUE,"NA Passenger";#N/A,#N/A,TRUE,"WE, Africa, ME";#N/A,#N/A,TRUE,"Eastern Europe, Russia";#N/A,#N/A,TRUE,"India &amp; W Asia";#N/A,#N/A,TRUE,"SE Asia"}</definedName>
    <definedName name="wrn.Print._.All." localSheetId="4" hidden="1">{#N/A,#N/A,TRUE,"Commercial Intro";#N/A,#N/A,TRUE,"Summary Intro";#N/A,#N/A,TRUE,"Summary";#N/A,#N/A,TRUE,"TY (formulas)";#N/A,#N/A,TRUE,"Q1 (ACT)";#N/A,#N/A,TRUE,"Q2 (Act)";#N/A,#N/A,TRUE,"Q3 (IOP)";#N/A,#N/A,TRUE,"Q4 (IOP)";#N/A,#N/A,TRUE,"P&amp;L Reports";#N/A,#N/A,TRUE,"Locomotives";#N/A,#N/A,TRUE,"Modernizations";#N/A,#N/A,TRUE,"Repair Services";#N/A,#N/A,TRUE,"Parts";#N/A,#N/A,TRUE,"Signaling Projects";#N/A,#N/A,TRUE,"Signaling Products";#N/A,#N/A,TRUE,"MSA";#N/A,#N/A,TRUE,"Gevisa";#N/A,#N/A,TRUE,"TST Reports";#N/A,#N/A,TRUE,"BNSF";#N/A,#N/A,TRUE,"NS";#N/A,#N/A,TRUE,"UP";#N/A,#N/A,TRUE,"CXS";#N/A,#N/A,TRUE,"CP";#N/A,#N/A,TRUE,"CN";#N/A,#N/A,TRUE,"Other US Shortlines";#N/A,#N/A,TRUE,"Latin America";#N/A,#N/A,TRUE,"NA Passenger";#N/A,#N/A,TRUE,"WE, Africa, ME";#N/A,#N/A,TRUE,"Eastern Europe, Russia";#N/A,#N/A,TRUE,"India &amp; W Asia";#N/A,#N/A,TRUE,"SE Asia"}</definedName>
    <definedName name="wrn.Print._.All." hidden="1">{#N/A,#N/A,TRUE,"Commercial Intro";#N/A,#N/A,TRUE,"Summary Intro";#N/A,#N/A,TRUE,"Summary";#N/A,#N/A,TRUE,"TY (formulas)";#N/A,#N/A,TRUE,"Q1 (ACT)";#N/A,#N/A,TRUE,"Q2 (Act)";#N/A,#N/A,TRUE,"Q3 (IOP)";#N/A,#N/A,TRUE,"Q4 (IOP)";#N/A,#N/A,TRUE,"P&amp;L Reports";#N/A,#N/A,TRUE,"Locomotives";#N/A,#N/A,TRUE,"Modernizations";#N/A,#N/A,TRUE,"Repair Services";#N/A,#N/A,TRUE,"Parts";#N/A,#N/A,TRUE,"Signaling Projects";#N/A,#N/A,TRUE,"Signaling Products";#N/A,#N/A,TRUE,"MSA";#N/A,#N/A,TRUE,"Gevisa";#N/A,#N/A,TRUE,"TST Reports";#N/A,#N/A,TRUE,"BNSF";#N/A,#N/A,TRUE,"NS";#N/A,#N/A,TRUE,"UP";#N/A,#N/A,TRUE,"CXS";#N/A,#N/A,TRUE,"CP";#N/A,#N/A,TRUE,"CN";#N/A,#N/A,TRUE,"Other US Shortlines";#N/A,#N/A,TRUE,"Latin America";#N/A,#N/A,TRUE,"NA Passenger";#N/A,#N/A,TRUE,"WE, Africa, ME";#N/A,#N/A,TRUE,"Eastern Europe, Russia";#N/A,#N/A,TRUE,"India &amp; W Asia";#N/A,#N/A,TRUE,"SE Asia"}</definedName>
    <definedName name="wrn.Print._.PL._.Reports." localSheetId="3" hidden="1">{#N/A,#N/A,FALSE,"P&amp;L Reports";#N/A,#N/A,FALSE,"Locomotives";#N/A,#N/A,FALSE,"Modernizations";#N/A,#N/A,FALSE,"Repair Services";#N/A,#N/A,FALSE,"Parts";#N/A,#N/A,FALSE,"Signaling Projects";#N/A,#N/A,FALSE,"Signaling Products";#N/A,#N/A,FALSE,"MSA";#N/A,#N/A,FALSE,"Gevisa"}</definedName>
    <definedName name="wrn.Print._.PL._.Reports." localSheetId="6" hidden="1">{#N/A,#N/A,FALSE,"P&amp;L Reports";#N/A,#N/A,FALSE,"Locomotives";#N/A,#N/A,FALSE,"Modernizations";#N/A,#N/A,FALSE,"Repair Services";#N/A,#N/A,FALSE,"Parts";#N/A,#N/A,FALSE,"Signaling Projects";#N/A,#N/A,FALSE,"Signaling Products";#N/A,#N/A,FALSE,"MSA";#N/A,#N/A,FALSE,"Gevisa"}</definedName>
    <definedName name="wrn.Print._.PL._.Reports." localSheetId="7" hidden="1">{#N/A,#N/A,FALSE,"P&amp;L Reports";#N/A,#N/A,FALSE,"Locomotives";#N/A,#N/A,FALSE,"Modernizations";#N/A,#N/A,FALSE,"Repair Services";#N/A,#N/A,FALSE,"Parts";#N/A,#N/A,FALSE,"Signaling Projects";#N/A,#N/A,FALSE,"Signaling Products";#N/A,#N/A,FALSE,"MSA";#N/A,#N/A,FALSE,"Gevisa"}</definedName>
    <definedName name="wrn.Print._.PL._.Reports." localSheetId="10" hidden="1">{#N/A,#N/A,FALSE,"P&amp;L Reports";#N/A,#N/A,FALSE,"Locomotives";#N/A,#N/A,FALSE,"Modernizations";#N/A,#N/A,FALSE,"Repair Services";#N/A,#N/A,FALSE,"Parts";#N/A,#N/A,FALSE,"Signaling Projects";#N/A,#N/A,FALSE,"Signaling Products";#N/A,#N/A,FALSE,"MSA";#N/A,#N/A,FALSE,"Gevisa"}</definedName>
    <definedName name="wrn.Print._.PL._.Reports." localSheetId="11" hidden="1">{#N/A,#N/A,FALSE,"P&amp;L Reports";#N/A,#N/A,FALSE,"Locomotives";#N/A,#N/A,FALSE,"Modernizations";#N/A,#N/A,FALSE,"Repair Services";#N/A,#N/A,FALSE,"Parts";#N/A,#N/A,FALSE,"Signaling Projects";#N/A,#N/A,FALSE,"Signaling Products";#N/A,#N/A,FALSE,"MSA";#N/A,#N/A,FALSE,"Gevisa"}</definedName>
    <definedName name="wrn.Print._.PL._.Reports." localSheetId="5" hidden="1">{#N/A,#N/A,FALSE,"P&amp;L Reports";#N/A,#N/A,FALSE,"Locomotives";#N/A,#N/A,FALSE,"Modernizations";#N/A,#N/A,FALSE,"Repair Services";#N/A,#N/A,FALSE,"Parts";#N/A,#N/A,FALSE,"Signaling Projects";#N/A,#N/A,FALSE,"Signaling Products";#N/A,#N/A,FALSE,"MSA";#N/A,#N/A,FALSE,"Gevisa"}</definedName>
    <definedName name="wrn.Print._.PL._.Reports." localSheetId="4" hidden="1">{#N/A,#N/A,FALSE,"P&amp;L Reports";#N/A,#N/A,FALSE,"Locomotives";#N/A,#N/A,FALSE,"Modernizations";#N/A,#N/A,FALSE,"Repair Services";#N/A,#N/A,FALSE,"Parts";#N/A,#N/A,FALSE,"Signaling Projects";#N/A,#N/A,FALSE,"Signaling Products";#N/A,#N/A,FALSE,"MSA";#N/A,#N/A,FALSE,"Gevisa"}</definedName>
    <definedName name="wrn.Print._.PL._.Reports." hidden="1">{#N/A,#N/A,FALSE,"P&amp;L Reports";#N/A,#N/A,FALSE,"Locomotives";#N/A,#N/A,FALSE,"Modernizations";#N/A,#N/A,FALSE,"Repair Services";#N/A,#N/A,FALSE,"Parts";#N/A,#N/A,FALSE,"Signaling Projects";#N/A,#N/A,FALSE,"Signaling Products";#N/A,#N/A,FALSE,"MSA";#N/A,#N/A,FALSE,"Gevisa"}</definedName>
    <definedName name="wrn.Print._.Report." localSheetId="3" hidden="1">{"MPODE 1",#N/A,FALSE,"Scenarios";"CAPEX",#N/A,FALSE,"DEPRECIACIONES";"Trans Costs",#N/A,FALSE,"Transmission";"Trans Revenue",#N/A,FALSE,"Transmission";"Revenues Summary",#N/A,FALSE,"Revenues";"Assumptions General",#N/A,FALSE,"assumptions";"Assumptions Summary",#N/A,FALSE,"assumptions";"Flores 1",#N/A,FALSE,"assumptions";"Tebsa 4",#N/A,FALSE,"assumptions";"Tebsa 7",#N/A,FALSE,"assumptions";"Termoballenas 1",#N/A,FALSE,"assumptions";"Termoballenas 2",#N/A,FALSE,"assumptions";"Termochinu 5",#N/A,FALSE,"assumptions";"Termochinu 6",#N/A,FALSE,"assumptions";"Termochinu 7",#N/A,FALSE,"assumptions";"Termochinu 8",#N/A,FALSE,"assumptions";"Termoguajira 1",#N/A,FALSE,"assumptions";"Termoguajira 2",#N/A,FALSE,"assumptions";"Monetary gain",#N/A,FALSE,"capex &amp; dep";"Income Statement",#N/A,FALSE,"Fin Stmts";"Balance Sheet",#N/A,FALSE,"Fin Stmts";"Cash Flow",#N/A,FALSE,"Fin Stmts";"Labor Personnel\",#N/A,FALSE,"Labor";"TEBSA PPA",#N/A,FALSE,"TEBSA";"Free Cash Flow",#N/A,FALSE,"Valuation";"Valuation",#N/A,FALSE,"Valuation";#N/A,#N/A,FALSE,"Work Cap"}</definedName>
    <definedName name="wrn.Print._.Report." localSheetId="6" hidden="1">{"MPODE 1",#N/A,FALSE,"Scenarios";"CAPEX",#N/A,FALSE,"DEPRECIACIONES";"Trans Costs",#N/A,FALSE,"Transmission";"Trans Revenue",#N/A,FALSE,"Transmission";"Revenues Summary",#N/A,FALSE,"Revenues";"Assumptions General",#N/A,FALSE,"assumptions";"Assumptions Summary",#N/A,FALSE,"assumptions";"Flores 1",#N/A,FALSE,"assumptions";"Tebsa 4",#N/A,FALSE,"assumptions";"Tebsa 7",#N/A,FALSE,"assumptions";"Termoballenas 1",#N/A,FALSE,"assumptions";"Termoballenas 2",#N/A,FALSE,"assumptions";"Termochinu 5",#N/A,FALSE,"assumptions";"Termochinu 6",#N/A,FALSE,"assumptions";"Termochinu 7",#N/A,FALSE,"assumptions";"Termochinu 8",#N/A,FALSE,"assumptions";"Termoguajira 1",#N/A,FALSE,"assumptions";"Termoguajira 2",#N/A,FALSE,"assumptions";"Monetary gain",#N/A,FALSE,"capex &amp; dep";"Income Statement",#N/A,FALSE,"Fin Stmts";"Balance Sheet",#N/A,FALSE,"Fin Stmts";"Cash Flow",#N/A,FALSE,"Fin Stmts";"Labor Personnel\",#N/A,FALSE,"Labor";"TEBSA PPA",#N/A,FALSE,"TEBSA";"Free Cash Flow",#N/A,FALSE,"Valuation";"Valuation",#N/A,FALSE,"Valuation";#N/A,#N/A,FALSE,"Work Cap"}</definedName>
    <definedName name="wrn.Print._.Report." localSheetId="7" hidden="1">{"MPODE 1",#N/A,FALSE,"Scenarios";"CAPEX",#N/A,FALSE,"DEPRECIACIONES";"Trans Costs",#N/A,FALSE,"Transmission";"Trans Revenue",#N/A,FALSE,"Transmission";"Revenues Summary",#N/A,FALSE,"Revenues";"Assumptions General",#N/A,FALSE,"assumptions";"Assumptions Summary",#N/A,FALSE,"assumptions";"Flores 1",#N/A,FALSE,"assumptions";"Tebsa 4",#N/A,FALSE,"assumptions";"Tebsa 7",#N/A,FALSE,"assumptions";"Termoballenas 1",#N/A,FALSE,"assumptions";"Termoballenas 2",#N/A,FALSE,"assumptions";"Termochinu 5",#N/A,FALSE,"assumptions";"Termochinu 6",#N/A,FALSE,"assumptions";"Termochinu 7",#N/A,FALSE,"assumptions";"Termochinu 8",#N/A,FALSE,"assumptions";"Termoguajira 1",#N/A,FALSE,"assumptions";"Termoguajira 2",#N/A,FALSE,"assumptions";"Monetary gain",#N/A,FALSE,"capex &amp; dep";"Income Statement",#N/A,FALSE,"Fin Stmts";"Balance Sheet",#N/A,FALSE,"Fin Stmts";"Cash Flow",#N/A,FALSE,"Fin Stmts";"Labor Personnel\",#N/A,FALSE,"Labor";"TEBSA PPA",#N/A,FALSE,"TEBSA";"Free Cash Flow",#N/A,FALSE,"Valuation";"Valuation",#N/A,FALSE,"Valuation";#N/A,#N/A,FALSE,"Work Cap"}</definedName>
    <definedName name="wrn.Print._.Report." localSheetId="10" hidden="1">{"MPODE 1",#N/A,FALSE,"Scenarios";"CAPEX",#N/A,FALSE,"DEPRECIACIONES";"Trans Costs",#N/A,FALSE,"Transmission";"Trans Revenue",#N/A,FALSE,"Transmission";"Revenues Summary",#N/A,FALSE,"Revenues";"Assumptions General",#N/A,FALSE,"assumptions";"Assumptions Summary",#N/A,FALSE,"assumptions";"Flores 1",#N/A,FALSE,"assumptions";"Tebsa 4",#N/A,FALSE,"assumptions";"Tebsa 7",#N/A,FALSE,"assumptions";"Termoballenas 1",#N/A,FALSE,"assumptions";"Termoballenas 2",#N/A,FALSE,"assumptions";"Termochinu 5",#N/A,FALSE,"assumptions";"Termochinu 6",#N/A,FALSE,"assumptions";"Termochinu 7",#N/A,FALSE,"assumptions";"Termochinu 8",#N/A,FALSE,"assumptions";"Termoguajira 1",#N/A,FALSE,"assumptions";"Termoguajira 2",#N/A,FALSE,"assumptions";"Monetary gain",#N/A,FALSE,"capex &amp; dep";"Income Statement",#N/A,FALSE,"Fin Stmts";"Balance Sheet",#N/A,FALSE,"Fin Stmts";"Cash Flow",#N/A,FALSE,"Fin Stmts";"Labor Personnel\",#N/A,FALSE,"Labor";"TEBSA PPA",#N/A,FALSE,"TEBSA";"Free Cash Flow",#N/A,FALSE,"Valuation";"Valuation",#N/A,FALSE,"Valuation";#N/A,#N/A,FALSE,"Work Cap"}</definedName>
    <definedName name="wrn.Print._.Report." localSheetId="11" hidden="1">{"MPODE 1",#N/A,FALSE,"Scenarios";"CAPEX",#N/A,FALSE,"DEPRECIACIONES";"Trans Costs",#N/A,FALSE,"Transmission";"Trans Revenue",#N/A,FALSE,"Transmission";"Revenues Summary",#N/A,FALSE,"Revenues";"Assumptions General",#N/A,FALSE,"assumptions";"Assumptions Summary",#N/A,FALSE,"assumptions";"Flores 1",#N/A,FALSE,"assumptions";"Tebsa 4",#N/A,FALSE,"assumptions";"Tebsa 7",#N/A,FALSE,"assumptions";"Termoballenas 1",#N/A,FALSE,"assumptions";"Termoballenas 2",#N/A,FALSE,"assumptions";"Termochinu 5",#N/A,FALSE,"assumptions";"Termochinu 6",#N/A,FALSE,"assumptions";"Termochinu 7",#N/A,FALSE,"assumptions";"Termochinu 8",#N/A,FALSE,"assumptions";"Termoguajira 1",#N/A,FALSE,"assumptions";"Termoguajira 2",#N/A,FALSE,"assumptions";"Monetary gain",#N/A,FALSE,"capex &amp; dep";"Income Statement",#N/A,FALSE,"Fin Stmts";"Balance Sheet",#N/A,FALSE,"Fin Stmts";"Cash Flow",#N/A,FALSE,"Fin Stmts";"Labor Personnel\",#N/A,FALSE,"Labor";"TEBSA PPA",#N/A,FALSE,"TEBSA";"Free Cash Flow",#N/A,FALSE,"Valuation";"Valuation",#N/A,FALSE,"Valuation";#N/A,#N/A,FALSE,"Work Cap"}</definedName>
    <definedName name="wrn.Print._.Report." localSheetId="5" hidden="1">{"MPODE 1",#N/A,FALSE,"Scenarios";"CAPEX",#N/A,FALSE,"DEPRECIACIONES";"Trans Costs",#N/A,FALSE,"Transmission";"Trans Revenue",#N/A,FALSE,"Transmission";"Revenues Summary",#N/A,FALSE,"Revenues";"Assumptions General",#N/A,FALSE,"assumptions";"Assumptions Summary",#N/A,FALSE,"assumptions";"Flores 1",#N/A,FALSE,"assumptions";"Tebsa 4",#N/A,FALSE,"assumptions";"Tebsa 7",#N/A,FALSE,"assumptions";"Termoballenas 1",#N/A,FALSE,"assumptions";"Termoballenas 2",#N/A,FALSE,"assumptions";"Termochinu 5",#N/A,FALSE,"assumptions";"Termochinu 6",#N/A,FALSE,"assumptions";"Termochinu 7",#N/A,FALSE,"assumptions";"Termochinu 8",#N/A,FALSE,"assumptions";"Termoguajira 1",#N/A,FALSE,"assumptions";"Termoguajira 2",#N/A,FALSE,"assumptions";"Monetary gain",#N/A,FALSE,"capex &amp; dep";"Income Statement",#N/A,FALSE,"Fin Stmts";"Balance Sheet",#N/A,FALSE,"Fin Stmts";"Cash Flow",#N/A,FALSE,"Fin Stmts";"Labor Personnel\",#N/A,FALSE,"Labor";"TEBSA PPA",#N/A,FALSE,"TEBSA";"Free Cash Flow",#N/A,FALSE,"Valuation";"Valuation",#N/A,FALSE,"Valuation";#N/A,#N/A,FALSE,"Work Cap"}</definedName>
    <definedName name="wrn.Print._.Report." localSheetId="4" hidden="1">{"MPODE 1",#N/A,FALSE,"Scenarios";"CAPEX",#N/A,FALSE,"DEPRECIACIONES";"Trans Costs",#N/A,FALSE,"Transmission";"Trans Revenue",#N/A,FALSE,"Transmission";"Revenues Summary",#N/A,FALSE,"Revenues";"Assumptions General",#N/A,FALSE,"assumptions";"Assumptions Summary",#N/A,FALSE,"assumptions";"Flores 1",#N/A,FALSE,"assumptions";"Tebsa 4",#N/A,FALSE,"assumptions";"Tebsa 7",#N/A,FALSE,"assumptions";"Termoballenas 1",#N/A,FALSE,"assumptions";"Termoballenas 2",#N/A,FALSE,"assumptions";"Termochinu 5",#N/A,FALSE,"assumptions";"Termochinu 6",#N/A,FALSE,"assumptions";"Termochinu 7",#N/A,FALSE,"assumptions";"Termochinu 8",#N/A,FALSE,"assumptions";"Termoguajira 1",#N/A,FALSE,"assumptions";"Termoguajira 2",#N/A,FALSE,"assumptions";"Monetary gain",#N/A,FALSE,"capex &amp; dep";"Income Statement",#N/A,FALSE,"Fin Stmts";"Balance Sheet",#N/A,FALSE,"Fin Stmts";"Cash Flow",#N/A,FALSE,"Fin Stmts";"Labor Personnel\",#N/A,FALSE,"Labor";"TEBSA PPA",#N/A,FALSE,"TEBSA";"Free Cash Flow",#N/A,FALSE,"Valuation";"Valuation",#N/A,FALSE,"Valuation";#N/A,#N/A,FALSE,"Work Cap"}</definedName>
    <definedName name="wrn.Print._.Report." hidden="1">{"MPODE 1",#N/A,FALSE,"Scenarios";"CAPEX",#N/A,FALSE,"DEPRECIACIONES";"Trans Costs",#N/A,FALSE,"Transmission";"Trans Revenue",#N/A,FALSE,"Transmission";"Revenues Summary",#N/A,FALSE,"Revenues";"Assumptions General",#N/A,FALSE,"assumptions";"Assumptions Summary",#N/A,FALSE,"assumptions";"Flores 1",#N/A,FALSE,"assumptions";"Tebsa 4",#N/A,FALSE,"assumptions";"Tebsa 7",#N/A,FALSE,"assumptions";"Termoballenas 1",#N/A,FALSE,"assumptions";"Termoballenas 2",#N/A,FALSE,"assumptions";"Termochinu 5",#N/A,FALSE,"assumptions";"Termochinu 6",#N/A,FALSE,"assumptions";"Termochinu 7",#N/A,FALSE,"assumptions";"Termochinu 8",#N/A,FALSE,"assumptions";"Termoguajira 1",#N/A,FALSE,"assumptions";"Termoguajira 2",#N/A,FALSE,"assumptions";"Monetary gain",#N/A,FALSE,"capex &amp; dep";"Income Statement",#N/A,FALSE,"Fin Stmts";"Balance Sheet",#N/A,FALSE,"Fin Stmts";"Cash Flow",#N/A,FALSE,"Fin Stmts";"Labor Personnel\",#N/A,FALSE,"Labor";"TEBSA PPA",#N/A,FALSE,"TEBSA";"Free Cash Flow",#N/A,FALSE,"Valuation";"Valuation",#N/A,FALSE,"Valuation";#N/A,#N/A,FALSE,"Work Cap"}</definedName>
    <definedName name="wrn.Print._.Summary." localSheetId="3" hidden="1">{#N/A,#N/A,FALSE,"Summary Intro";#N/A,#N/A,FALSE,"Summary";#N/A,#N/A,FALSE,"TY (formulas)";#N/A,#N/A,FALSE,"Q1 (ACT)";#N/A,#N/A,FALSE,"Q2 (Act)";#N/A,#N/A,FALSE,"Q3 (IOP)";#N/A,#N/A,FALSE,"Q4 (IOP)"}</definedName>
    <definedName name="wrn.Print._.Summary." localSheetId="6" hidden="1">{#N/A,#N/A,FALSE,"Summary Intro";#N/A,#N/A,FALSE,"Summary";#N/A,#N/A,FALSE,"TY (formulas)";#N/A,#N/A,FALSE,"Q1 (ACT)";#N/A,#N/A,FALSE,"Q2 (Act)";#N/A,#N/A,FALSE,"Q3 (IOP)";#N/A,#N/A,FALSE,"Q4 (IOP)"}</definedName>
    <definedName name="wrn.Print._.Summary." localSheetId="7" hidden="1">{#N/A,#N/A,FALSE,"Summary Intro";#N/A,#N/A,FALSE,"Summary";#N/A,#N/A,FALSE,"TY (formulas)";#N/A,#N/A,FALSE,"Q1 (ACT)";#N/A,#N/A,FALSE,"Q2 (Act)";#N/A,#N/A,FALSE,"Q3 (IOP)";#N/A,#N/A,FALSE,"Q4 (IOP)"}</definedName>
    <definedName name="wrn.Print._.Summary." localSheetId="10" hidden="1">{#N/A,#N/A,FALSE,"Summary Intro";#N/A,#N/A,FALSE,"Summary";#N/A,#N/A,FALSE,"TY (formulas)";#N/A,#N/A,FALSE,"Q1 (ACT)";#N/A,#N/A,FALSE,"Q2 (Act)";#N/A,#N/A,FALSE,"Q3 (IOP)";#N/A,#N/A,FALSE,"Q4 (IOP)"}</definedName>
    <definedName name="wrn.Print._.Summary." localSheetId="11" hidden="1">{#N/A,#N/A,FALSE,"Summary Intro";#N/A,#N/A,FALSE,"Summary";#N/A,#N/A,FALSE,"TY (formulas)";#N/A,#N/A,FALSE,"Q1 (ACT)";#N/A,#N/A,FALSE,"Q2 (Act)";#N/A,#N/A,FALSE,"Q3 (IOP)";#N/A,#N/A,FALSE,"Q4 (IOP)"}</definedName>
    <definedName name="wrn.Print._.Summary." localSheetId="5" hidden="1">{#N/A,#N/A,FALSE,"Summary Intro";#N/A,#N/A,FALSE,"Summary";#N/A,#N/A,FALSE,"TY (formulas)";#N/A,#N/A,FALSE,"Q1 (ACT)";#N/A,#N/A,FALSE,"Q2 (Act)";#N/A,#N/A,FALSE,"Q3 (IOP)";#N/A,#N/A,FALSE,"Q4 (IOP)"}</definedName>
    <definedName name="wrn.Print._.Summary." localSheetId="4" hidden="1">{#N/A,#N/A,FALSE,"Summary Intro";#N/A,#N/A,FALSE,"Summary";#N/A,#N/A,FALSE,"TY (formulas)";#N/A,#N/A,FALSE,"Q1 (ACT)";#N/A,#N/A,FALSE,"Q2 (Act)";#N/A,#N/A,FALSE,"Q3 (IOP)";#N/A,#N/A,FALSE,"Q4 (IOP)"}</definedName>
    <definedName name="wrn.Print._.Summary." hidden="1">{#N/A,#N/A,FALSE,"Summary Intro";#N/A,#N/A,FALSE,"Summary";#N/A,#N/A,FALSE,"TY (formulas)";#N/A,#N/A,FALSE,"Q1 (ACT)";#N/A,#N/A,FALSE,"Q2 (Act)";#N/A,#N/A,FALSE,"Q3 (IOP)";#N/A,#N/A,FALSE,"Q4 (IOP)"}</definedName>
    <definedName name="wrn.Print._.TST._.Reports." localSheetId="3" hidden="1">{#N/A,#N/A,FALSE,"TST Reports";#N/A,#N/A,FALSE,"BNSF";#N/A,#N/A,FALSE,"NS";#N/A,#N/A,FALSE,"UP";#N/A,#N/A,FALSE,"CXS";#N/A,#N/A,FALSE,"CP";#N/A,#N/A,FALSE,"CN";#N/A,#N/A,FALSE,"Latin America";#N/A,#N/A,FALSE,"Other US Shortlines";#N/A,#N/A,FALSE,"NA Passenger";#N/A,#N/A,FALSE,"WE, Africa, ME";#N/A,#N/A,FALSE,"Eastern Europe, Russia";#N/A,#N/A,FALSE,"India &amp; W Asia";#N/A,#N/A,FALSE,"SE Asia"}</definedName>
    <definedName name="wrn.Print._.TST._.Reports." localSheetId="6" hidden="1">{#N/A,#N/A,FALSE,"TST Reports";#N/A,#N/A,FALSE,"BNSF";#N/A,#N/A,FALSE,"NS";#N/A,#N/A,FALSE,"UP";#N/A,#N/A,FALSE,"CXS";#N/A,#N/A,FALSE,"CP";#N/A,#N/A,FALSE,"CN";#N/A,#N/A,FALSE,"Latin America";#N/A,#N/A,FALSE,"Other US Shortlines";#N/A,#N/A,FALSE,"NA Passenger";#N/A,#N/A,FALSE,"WE, Africa, ME";#N/A,#N/A,FALSE,"Eastern Europe, Russia";#N/A,#N/A,FALSE,"India &amp; W Asia";#N/A,#N/A,FALSE,"SE Asia"}</definedName>
    <definedName name="wrn.Print._.TST._.Reports." localSheetId="7" hidden="1">{#N/A,#N/A,FALSE,"TST Reports";#N/A,#N/A,FALSE,"BNSF";#N/A,#N/A,FALSE,"NS";#N/A,#N/A,FALSE,"UP";#N/A,#N/A,FALSE,"CXS";#N/A,#N/A,FALSE,"CP";#N/A,#N/A,FALSE,"CN";#N/A,#N/A,FALSE,"Latin America";#N/A,#N/A,FALSE,"Other US Shortlines";#N/A,#N/A,FALSE,"NA Passenger";#N/A,#N/A,FALSE,"WE, Africa, ME";#N/A,#N/A,FALSE,"Eastern Europe, Russia";#N/A,#N/A,FALSE,"India &amp; W Asia";#N/A,#N/A,FALSE,"SE Asia"}</definedName>
    <definedName name="wrn.Print._.TST._.Reports." localSheetId="10" hidden="1">{#N/A,#N/A,FALSE,"TST Reports";#N/A,#N/A,FALSE,"BNSF";#N/A,#N/A,FALSE,"NS";#N/A,#N/A,FALSE,"UP";#N/A,#N/A,FALSE,"CXS";#N/A,#N/A,FALSE,"CP";#N/A,#N/A,FALSE,"CN";#N/A,#N/A,FALSE,"Latin America";#N/A,#N/A,FALSE,"Other US Shortlines";#N/A,#N/A,FALSE,"NA Passenger";#N/A,#N/A,FALSE,"WE, Africa, ME";#N/A,#N/A,FALSE,"Eastern Europe, Russia";#N/A,#N/A,FALSE,"India &amp; W Asia";#N/A,#N/A,FALSE,"SE Asia"}</definedName>
    <definedName name="wrn.Print._.TST._.Reports." localSheetId="11" hidden="1">{#N/A,#N/A,FALSE,"TST Reports";#N/A,#N/A,FALSE,"BNSF";#N/A,#N/A,FALSE,"NS";#N/A,#N/A,FALSE,"UP";#N/A,#N/A,FALSE,"CXS";#N/A,#N/A,FALSE,"CP";#N/A,#N/A,FALSE,"CN";#N/A,#N/A,FALSE,"Latin America";#N/A,#N/A,FALSE,"Other US Shortlines";#N/A,#N/A,FALSE,"NA Passenger";#N/A,#N/A,FALSE,"WE, Africa, ME";#N/A,#N/A,FALSE,"Eastern Europe, Russia";#N/A,#N/A,FALSE,"India &amp; W Asia";#N/A,#N/A,FALSE,"SE Asia"}</definedName>
    <definedName name="wrn.Print._.TST._.Reports." localSheetId="5" hidden="1">{#N/A,#N/A,FALSE,"TST Reports";#N/A,#N/A,FALSE,"BNSF";#N/A,#N/A,FALSE,"NS";#N/A,#N/A,FALSE,"UP";#N/A,#N/A,FALSE,"CXS";#N/A,#N/A,FALSE,"CP";#N/A,#N/A,FALSE,"CN";#N/A,#N/A,FALSE,"Latin America";#N/A,#N/A,FALSE,"Other US Shortlines";#N/A,#N/A,FALSE,"NA Passenger";#N/A,#N/A,FALSE,"WE, Africa, ME";#N/A,#N/A,FALSE,"Eastern Europe, Russia";#N/A,#N/A,FALSE,"India &amp; W Asia";#N/A,#N/A,FALSE,"SE Asia"}</definedName>
    <definedName name="wrn.Print._.TST._.Reports." localSheetId="4" hidden="1">{#N/A,#N/A,FALSE,"TST Reports";#N/A,#N/A,FALSE,"BNSF";#N/A,#N/A,FALSE,"NS";#N/A,#N/A,FALSE,"UP";#N/A,#N/A,FALSE,"CXS";#N/A,#N/A,FALSE,"CP";#N/A,#N/A,FALSE,"CN";#N/A,#N/A,FALSE,"Latin America";#N/A,#N/A,FALSE,"Other US Shortlines";#N/A,#N/A,FALSE,"NA Passenger";#N/A,#N/A,FALSE,"WE, Africa, ME";#N/A,#N/A,FALSE,"Eastern Europe, Russia";#N/A,#N/A,FALSE,"India &amp; W Asia";#N/A,#N/A,FALSE,"SE Asia"}</definedName>
    <definedName name="wrn.Print._.TST._.Reports." hidden="1">{#N/A,#N/A,FALSE,"TST Reports";#N/A,#N/A,FALSE,"BNSF";#N/A,#N/A,FALSE,"NS";#N/A,#N/A,FALSE,"UP";#N/A,#N/A,FALSE,"CXS";#N/A,#N/A,FALSE,"CP";#N/A,#N/A,FALSE,"CN";#N/A,#N/A,FALSE,"Latin America";#N/A,#N/A,FALSE,"Other US Shortlines";#N/A,#N/A,FALSE,"NA Passenger";#N/A,#N/A,FALSE,"WE, Africa, ME";#N/A,#N/A,FALSE,"Eastern Europe, Russia";#N/A,#N/A,FALSE,"India &amp; W Asia";#N/A,#N/A,FALSE,"SE Asia"}</definedName>
    <definedName name="wrn.PrintAll." localSheetId="3" hidden="1">{"PA1",#N/A,FALSE,"BORDMW";"pa2",#N/A,FALSE,"BORDMW";"PA3",#N/A,FALSE,"BORDMW";"PA4",#N/A,FALSE,"BORDMW"}</definedName>
    <definedName name="wrn.PrintAll." localSheetId="6" hidden="1">{"PA1",#N/A,FALSE,"BORDMW";"pa2",#N/A,FALSE,"BORDMW";"PA3",#N/A,FALSE,"BORDMW";"PA4",#N/A,FALSE,"BORDMW"}</definedName>
    <definedName name="wrn.PrintAll." localSheetId="7" hidden="1">{"PA1",#N/A,FALSE,"BORDMW";"pa2",#N/A,FALSE,"BORDMW";"PA3",#N/A,FALSE,"BORDMW";"PA4",#N/A,FALSE,"BORDMW"}</definedName>
    <definedName name="wrn.PrintAll." localSheetId="10" hidden="1">{"PA1",#N/A,FALSE,"BORDMW";"pa2",#N/A,FALSE,"BORDMW";"PA3",#N/A,FALSE,"BORDMW";"PA4",#N/A,FALSE,"BORDMW"}</definedName>
    <definedName name="wrn.PrintAll." localSheetId="11" hidden="1">{"PA1",#N/A,FALSE,"BORDMW";"pa2",#N/A,FALSE,"BORDMW";"PA3",#N/A,FALSE,"BORDMW";"PA4",#N/A,FALSE,"BORDMW"}</definedName>
    <definedName name="wrn.PrintAll." localSheetId="5" hidden="1">{"PA1",#N/A,FALSE,"BORDMW";"pa2",#N/A,FALSE,"BORDMW";"PA3",#N/A,FALSE,"BORDMW";"PA4",#N/A,FALSE,"BORDMW"}</definedName>
    <definedName name="wrn.PrintAll." localSheetId="4" hidden="1">{"PA1",#N/A,FALSE,"BORDMW";"pa2",#N/A,FALSE,"BORDMW";"PA3",#N/A,FALSE,"BORDMW";"PA4",#N/A,FALSE,"BORDMW"}</definedName>
    <definedName name="wrn.PrintAll." hidden="1">{"PA1",#N/A,FALSE,"BORDMW";"pa2",#N/A,FALSE,"BORDMW";"PA3",#N/A,FALSE,"BORDMW";"PA4",#N/A,FALSE,"BORDMW"}</definedName>
    <definedName name="wrn.Proforma._.1." localSheetId="3" hidden="1">{"side1",#N/A,FALSE,"ResRegn.A-kons.";"Side2",#N/A,FALSE,"Bal3112.A-kons."}</definedName>
    <definedName name="wrn.Proforma._.1." localSheetId="6" hidden="1">{"side1",#N/A,FALSE,"ResRegn.A-kons.";"Side2",#N/A,FALSE,"Bal3112.A-kons."}</definedName>
    <definedName name="wrn.Proforma._.1." localSheetId="7" hidden="1">{"side1",#N/A,FALSE,"ResRegn.A-kons.";"Side2",#N/A,FALSE,"Bal3112.A-kons."}</definedName>
    <definedName name="wrn.Proforma._.1." localSheetId="10" hidden="1">{"side1",#N/A,FALSE,"ResRegn.A-kons.";"Side2",#N/A,FALSE,"Bal3112.A-kons."}</definedName>
    <definedName name="wrn.Proforma._.1." localSheetId="11" hidden="1">{"side1",#N/A,FALSE,"ResRegn.A-kons.";"Side2",#N/A,FALSE,"Bal3112.A-kons."}</definedName>
    <definedName name="wrn.Proforma._.1." localSheetId="5" hidden="1">{"side1",#N/A,FALSE,"ResRegn.A-kons.";"Side2",#N/A,FALSE,"Bal3112.A-kons."}</definedName>
    <definedName name="wrn.Proforma._.1." localSheetId="4" hidden="1">{"side1",#N/A,FALSE,"ResRegn.A-kons.";"Side2",#N/A,FALSE,"Bal3112.A-kons."}</definedName>
    <definedName name="wrn.Proforma._.1." hidden="1">{"side1",#N/A,FALSE,"ResRegn.A-kons.";"Side2",#N/A,FALSE,"Bal3112.A-kons."}</definedName>
    <definedName name="wrn.Quadros._.relatório." localSheetId="3" hidden="1">{#N/A,#N/A,FALSE,"QD_F1 Invest Detalhado";#N/A,#N/A,FALSE,"QD_F3 Invest_Comparado";#N/A,#N/A,FALSE,"QD_B Trafego";#N/A,#N/A,FALSE,"QD_D0 Custos Operacionais";#N/A,#N/A,FALSE,"QD_C Receita";#N/A,#N/A,FALSE,"QD_D Custos";#N/A,#N/A,FALSE,"QD_E Resultado";#N/A,#N/A,FALSE,"QD_G Fluxo Caixa"}</definedName>
    <definedName name="wrn.Quadros._.relatório." localSheetId="6" hidden="1">{#N/A,#N/A,FALSE,"QD_F1 Invest Detalhado";#N/A,#N/A,FALSE,"QD_F3 Invest_Comparado";#N/A,#N/A,FALSE,"QD_B Trafego";#N/A,#N/A,FALSE,"QD_D0 Custos Operacionais";#N/A,#N/A,FALSE,"QD_C Receita";#N/A,#N/A,FALSE,"QD_D Custos";#N/A,#N/A,FALSE,"QD_E Resultado";#N/A,#N/A,FALSE,"QD_G Fluxo Caixa"}</definedName>
    <definedName name="wrn.Quadros._.relatório." localSheetId="7" hidden="1">{#N/A,#N/A,FALSE,"QD_F1 Invest Detalhado";#N/A,#N/A,FALSE,"QD_F3 Invest_Comparado";#N/A,#N/A,FALSE,"QD_B Trafego";#N/A,#N/A,FALSE,"QD_D0 Custos Operacionais";#N/A,#N/A,FALSE,"QD_C Receita";#N/A,#N/A,FALSE,"QD_D Custos";#N/A,#N/A,FALSE,"QD_E Resultado";#N/A,#N/A,FALSE,"QD_G Fluxo Caixa"}</definedName>
    <definedName name="wrn.Quadros._.relatório." localSheetId="10" hidden="1">{#N/A,#N/A,FALSE,"QD_F1 Invest Detalhado";#N/A,#N/A,FALSE,"QD_F3 Invest_Comparado";#N/A,#N/A,FALSE,"QD_B Trafego";#N/A,#N/A,FALSE,"QD_D0 Custos Operacionais";#N/A,#N/A,FALSE,"QD_C Receita";#N/A,#N/A,FALSE,"QD_D Custos";#N/A,#N/A,FALSE,"QD_E Resultado";#N/A,#N/A,FALSE,"QD_G Fluxo Caixa"}</definedName>
    <definedName name="wrn.Quadros._.relatório." localSheetId="11" hidden="1">{#N/A,#N/A,FALSE,"QD_F1 Invest Detalhado";#N/A,#N/A,FALSE,"QD_F3 Invest_Comparado";#N/A,#N/A,FALSE,"QD_B Trafego";#N/A,#N/A,FALSE,"QD_D0 Custos Operacionais";#N/A,#N/A,FALSE,"QD_C Receita";#N/A,#N/A,FALSE,"QD_D Custos";#N/A,#N/A,FALSE,"QD_E Resultado";#N/A,#N/A,FALSE,"QD_G Fluxo Caixa"}</definedName>
    <definedName name="wrn.Quadros._.relatório." localSheetId="5" hidden="1">{#N/A,#N/A,FALSE,"QD_F1 Invest Detalhado";#N/A,#N/A,FALSE,"QD_F3 Invest_Comparado";#N/A,#N/A,FALSE,"QD_B Trafego";#N/A,#N/A,FALSE,"QD_D0 Custos Operacionais";#N/A,#N/A,FALSE,"QD_C Receita";#N/A,#N/A,FALSE,"QD_D Custos";#N/A,#N/A,FALSE,"QD_E Resultado";#N/A,#N/A,FALSE,"QD_G Fluxo Caixa"}</definedName>
    <definedName name="wrn.Quadros._.relatório." localSheetId="4" hidden="1">{#N/A,#N/A,FALSE,"QD_F1 Invest Detalhado";#N/A,#N/A,FALSE,"QD_F3 Invest_Comparado";#N/A,#N/A,FALSE,"QD_B Trafego";#N/A,#N/A,FALSE,"QD_D0 Custos Operacionais";#N/A,#N/A,FALSE,"QD_C Receita";#N/A,#N/A,FALSE,"QD_D Custos";#N/A,#N/A,FALSE,"QD_E Resultado";#N/A,#N/A,FALSE,"QD_G Fluxo Caixa"}</definedName>
    <definedName name="wrn.Quadros._.relatório." localSheetId="1" hidden="1">{#N/A,#N/A,FALSE,"QD_F1 Invest Detalhado";#N/A,#N/A,FALSE,"QD_F3 Invest_Comparado";#N/A,#N/A,FALSE,"QD_B Trafego";#N/A,#N/A,FALSE,"QD_D0 Custos Operacionais";#N/A,#N/A,FALSE,"QD_C Receita";#N/A,#N/A,FALSE,"QD_D Custos";#N/A,#N/A,FALSE,"QD_E Resultado";#N/A,#N/A,FALSE,"QD_G Fluxo Caixa"}</definedName>
    <definedName name="wrn.Quadros._.relatório." localSheetId="2" hidden="1">{#N/A,#N/A,FALSE,"QD_F1 Invest Detalhado";#N/A,#N/A,FALSE,"QD_F3 Invest_Comparado";#N/A,#N/A,FALSE,"QD_B Trafego";#N/A,#N/A,FALSE,"QD_D0 Custos Operacionais";#N/A,#N/A,FALSE,"QD_C Receita";#N/A,#N/A,FALSE,"QD_D Custos";#N/A,#N/A,FALSE,"QD_E Resultado";#N/A,#N/A,FALSE,"QD_G Fluxo Caixa"}</definedName>
    <definedName name="wrn.Quadros._.relatório." hidden="1">{#N/A,#N/A,FALSE,"QD_F1 Invest Detalhado";#N/A,#N/A,FALSE,"QD_F3 Invest_Comparado";#N/A,#N/A,FALSE,"QD_B Trafego";#N/A,#N/A,FALSE,"QD_D0 Custos Operacionais";#N/A,#N/A,FALSE,"QD_C Receita";#N/A,#N/A,FALSE,"QD_D Custos";#N/A,#N/A,FALSE,"QD_E Resultado";#N/A,#N/A,FALSE,"QD_G Fluxo Caixa"}</definedName>
    <definedName name="wrn.reg" localSheetId="3" hidden="1">{#N/A,#N/A,FALSE,"ResRegn.A-kons.";#N/A,#N/A,FALSE,"Bal3112.A-kons.";#N/A,#N/A,FALSE,"Kont.a.A-kons.";#N/A,#N/A,FALSE,"Kont.a.A-kons.";#N/A,#N/A,FALSE,"Del av Note 9";#N/A,#N/A,FALSE,"Noter Balanse.A-kons.";#N/A,#N/A,FALSE,"Note 18-19.A-kons.";#N/A,#N/A,FALSE,"Note 20-1.A-kons.";#N/A,#N/A,FALSE,"Note 20-2.A-kons.";#N/A,#N/A,FALSE,"Note 21-22-23.A-kons.";#N/A,#N/A,FALSE,"Note 25-28.A-kons.";#N/A,#N/A,FALSE,"Note 23-24.A-kons.";#N/A,#N/A,FALSE,"Kont.a.A-kons.";#N/A,#N/A,FALSE,"Note11-12";#N/A,#N/A,FALSE,"Noter res.regn.A-kons. ";#N/A,#N/A,FALSE,"Note 29-30.A-kons.";#N/A,#N/A,FALSE,"Note 31-33.A-kons.";#N/A,#N/A,FALSE,"Note 34-35.A-kons."}</definedName>
    <definedName name="wrn.reg" localSheetId="6" hidden="1">{#N/A,#N/A,FALSE,"ResRegn.A-kons.";#N/A,#N/A,FALSE,"Bal3112.A-kons.";#N/A,#N/A,FALSE,"Kont.a.A-kons.";#N/A,#N/A,FALSE,"Kont.a.A-kons.";#N/A,#N/A,FALSE,"Del av Note 9";#N/A,#N/A,FALSE,"Noter Balanse.A-kons.";#N/A,#N/A,FALSE,"Note 18-19.A-kons.";#N/A,#N/A,FALSE,"Note 20-1.A-kons.";#N/A,#N/A,FALSE,"Note 20-2.A-kons.";#N/A,#N/A,FALSE,"Note 21-22-23.A-kons.";#N/A,#N/A,FALSE,"Note 25-28.A-kons.";#N/A,#N/A,FALSE,"Note 23-24.A-kons.";#N/A,#N/A,FALSE,"Kont.a.A-kons.";#N/A,#N/A,FALSE,"Note11-12";#N/A,#N/A,FALSE,"Noter res.regn.A-kons. ";#N/A,#N/A,FALSE,"Note 29-30.A-kons.";#N/A,#N/A,FALSE,"Note 31-33.A-kons.";#N/A,#N/A,FALSE,"Note 34-35.A-kons."}</definedName>
    <definedName name="wrn.reg" localSheetId="7" hidden="1">{#N/A,#N/A,FALSE,"ResRegn.A-kons.";#N/A,#N/A,FALSE,"Bal3112.A-kons.";#N/A,#N/A,FALSE,"Kont.a.A-kons.";#N/A,#N/A,FALSE,"Kont.a.A-kons.";#N/A,#N/A,FALSE,"Del av Note 9";#N/A,#N/A,FALSE,"Noter Balanse.A-kons.";#N/A,#N/A,FALSE,"Note 18-19.A-kons.";#N/A,#N/A,FALSE,"Note 20-1.A-kons.";#N/A,#N/A,FALSE,"Note 20-2.A-kons.";#N/A,#N/A,FALSE,"Note 21-22-23.A-kons.";#N/A,#N/A,FALSE,"Note 25-28.A-kons.";#N/A,#N/A,FALSE,"Note 23-24.A-kons.";#N/A,#N/A,FALSE,"Kont.a.A-kons.";#N/A,#N/A,FALSE,"Note11-12";#N/A,#N/A,FALSE,"Noter res.regn.A-kons. ";#N/A,#N/A,FALSE,"Note 29-30.A-kons.";#N/A,#N/A,FALSE,"Note 31-33.A-kons.";#N/A,#N/A,FALSE,"Note 34-35.A-kons."}</definedName>
    <definedName name="wrn.reg" localSheetId="10" hidden="1">{#N/A,#N/A,FALSE,"ResRegn.A-kons.";#N/A,#N/A,FALSE,"Bal3112.A-kons.";#N/A,#N/A,FALSE,"Kont.a.A-kons.";#N/A,#N/A,FALSE,"Kont.a.A-kons.";#N/A,#N/A,FALSE,"Del av Note 9";#N/A,#N/A,FALSE,"Noter Balanse.A-kons.";#N/A,#N/A,FALSE,"Note 18-19.A-kons.";#N/A,#N/A,FALSE,"Note 20-1.A-kons.";#N/A,#N/A,FALSE,"Note 20-2.A-kons.";#N/A,#N/A,FALSE,"Note 21-22-23.A-kons.";#N/A,#N/A,FALSE,"Note 25-28.A-kons.";#N/A,#N/A,FALSE,"Note 23-24.A-kons.";#N/A,#N/A,FALSE,"Kont.a.A-kons.";#N/A,#N/A,FALSE,"Note11-12";#N/A,#N/A,FALSE,"Noter res.regn.A-kons. ";#N/A,#N/A,FALSE,"Note 29-30.A-kons.";#N/A,#N/A,FALSE,"Note 31-33.A-kons.";#N/A,#N/A,FALSE,"Note 34-35.A-kons."}</definedName>
    <definedName name="wrn.reg" localSheetId="11" hidden="1">{#N/A,#N/A,FALSE,"ResRegn.A-kons.";#N/A,#N/A,FALSE,"Bal3112.A-kons.";#N/A,#N/A,FALSE,"Kont.a.A-kons.";#N/A,#N/A,FALSE,"Kont.a.A-kons.";#N/A,#N/A,FALSE,"Del av Note 9";#N/A,#N/A,FALSE,"Noter Balanse.A-kons.";#N/A,#N/A,FALSE,"Note 18-19.A-kons.";#N/A,#N/A,FALSE,"Note 20-1.A-kons.";#N/A,#N/A,FALSE,"Note 20-2.A-kons.";#N/A,#N/A,FALSE,"Note 21-22-23.A-kons.";#N/A,#N/A,FALSE,"Note 25-28.A-kons.";#N/A,#N/A,FALSE,"Note 23-24.A-kons.";#N/A,#N/A,FALSE,"Kont.a.A-kons.";#N/A,#N/A,FALSE,"Note11-12";#N/A,#N/A,FALSE,"Noter res.regn.A-kons. ";#N/A,#N/A,FALSE,"Note 29-30.A-kons.";#N/A,#N/A,FALSE,"Note 31-33.A-kons.";#N/A,#N/A,FALSE,"Note 34-35.A-kons."}</definedName>
    <definedName name="wrn.reg" localSheetId="5" hidden="1">{#N/A,#N/A,FALSE,"ResRegn.A-kons.";#N/A,#N/A,FALSE,"Bal3112.A-kons.";#N/A,#N/A,FALSE,"Kont.a.A-kons.";#N/A,#N/A,FALSE,"Kont.a.A-kons.";#N/A,#N/A,FALSE,"Del av Note 9";#N/A,#N/A,FALSE,"Noter Balanse.A-kons.";#N/A,#N/A,FALSE,"Note 18-19.A-kons.";#N/A,#N/A,FALSE,"Note 20-1.A-kons.";#N/A,#N/A,FALSE,"Note 20-2.A-kons.";#N/A,#N/A,FALSE,"Note 21-22-23.A-kons.";#N/A,#N/A,FALSE,"Note 25-28.A-kons.";#N/A,#N/A,FALSE,"Note 23-24.A-kons.";#N/A,#N/A,FALSE,"Kont.a.A-kons.";#N/A,#N/A,FALSE,"Note11-12";#N/A,#N/A,FALSE,"Noter res.regn.A-kons. ";#N/A,#N/A,FALSE,"Note 29-30.A-kons.";#N/A,#N/A,FALSE,"Note 31-33.A-kons.";#N/A,#N/A,FALSE,"Note 34-35.A-kons."}</definedName>
    <definedName name="wrn.reg" localSheetId="4" hidden="1">{#N/A,#N/A,FALSE,"ResRegn.A-kons.";#N/A,#N/A,FALSE,"Bal3112.A-kons.";#N/A,#N/A,FALSE,"Kont.a.A-kons.";#N/A,#N/A,FALSE,"Kont.a.A-kons.";#N/A,#N/A,FALSE,"Del av Note 9";#N/A,#N/A,FALSE,"Noter Balanse.A-kons.";#N/A,#N/A,FALSE,"Note 18-19.A-kons.";#N/A,#N/A,FALSE,"Note 20-1.A-kons.";#N/A,#N/A,FALSE,"Note 20-2.A-kons.";#N/A,#N/A,FALSE,"Note 21-22-23.A-kons.";#N/A,#N/A,FALSE,"Note 25-28.A-kons.";#N/A,#N/A,FALSE,"Note 23-24.A-kons.";#N/A,#N/A,FALSE,"Kont.a.A-kons.";#N/A,#N/A,FALSE,"Note11-12";#N/A,#N/A,FALSE,"Noter res.regn.A-kons. ";#N/A,#N/A,FALSE,"Note 29-30.A-kons.";#N/A,#N/A,FALSE,"Note 31-33.A-kons.";#N/A,#N/A,FALSE,"Note 34-35.A-kons."}</definedName>
    <definedName name="wrn.reg" hidden="1">{#N/A,#N/A,FALSE,"ResRegn.A-kons.";#N/A,#N/A,FALSE,"Bal3112.A-kons.";#N/A,#N/A,FALSE,"Kont.a.A-kons.";#N/A,#N/A,FALSE,"Kont.a.A-kons.";#N/A,#N/A,FALSE,"Del av Note 9";#N/A,#N/A,FALSE,"Noter Balanse.A-kons.";#N/A,#N/A,FALSE,"Note 18-19.A-kons.";#N/A,#N/A,FALSE,"Note 20-1.A-kons.";#N/A,#N/A,FALSE,"Note 20-2.A-kons.";#N/A,#N/A,FALSE,"Note 21-22-23.A-kons.";#N/A,#N/A,FALSE,"Note 25-28.A-kons.";#N/A,#N/A,FALSE,"Note 23-24.A-kons.";#N/A,#N/A,FALSE,"Kont.a.A-kons.";#N/A,#N/A,FALSE,"Note11-12";#N/A,#N/A,FALSE,"Noter res.regn.A-kons. ";#N/A,#N/A,FALSE,"Note 29-30.A-kons.";#N/A,#N/A,FALSE,"Note 31-33.A-kons.";#N/A,#N/A,FALSE,"Note 34-35.A-kons."}</definedName>
    <definedName name="wrn.Regn95.xls." localSheetId="3" hidden="1">{#N/A,#N/A,FALSE,"ResRegn.A-kons.";#N/A,#N/A,FALSE,"Bal3112.A-kons.";#N/A,#N/A,FALSE,"Kont.a.A-kons.";#N/A,#N/A,FALSE,"Kont.a.A-kons.";#N/A,#N/A,FALSE,"Del av Note 9";#N/A,#N/A,FALSE,"Noter Balanse.A-kons.";#N/A,#N/A,FALSE,"Note 18-19.A-kons.";#N/A,#N/A,FALSE,"Note 20-1.A-kons.";#N/A,#N/A,FALSE,"Note 20-2.A-kons.";#N/A,#N/A,FALSE,"Note 21-22-23.A-kons.";#N/A,#N/A,FALSE,"Note 25-28.A-kons.";#N/A,#N/A,FALSE,"Note 23-24.A-kons.";#N/A,#N/A,FALSE,"Kont.a.A-kons.";#N/A,#N/A,FALSE,"Note11-12";#N/A,#N/A,FALSE,"Noter res.regn.A-kons. ";#N/A,#N/A,FALSE,"Note 29-30.A-kons.";#N/A,#N/A,FALSE,"Note 31-33.A-kons.";#N/A,#N/A,FALSE,"Note 34-35.A-kons."}</definedName>
    <definedName name="wrn.Regn95.xls." localSheetId="6" hidden="1">{#N/A,#N/A,FALSE,"ResRegn.A-kons.";#N/A,#N/A,FALSE,"Bal3112.A-kons.";#N/A,#N/A,FALSE,"Kont.a.A-kons.";#N/A,#N/A,FALSE,"Kont.a.A-kons.";#N/A,#N/A,FALSE,"Del av Note 9";#N/A,#N/A,FALSE,"Noter Balanse.A-kons.";#N/A,#N/A,FALSE,"Note 18-19.A-kons.";#N/A,#N/A,FALSE,"Note 20-1.A-kons.";#N/A,#N/A,FALSE,"Note 20-2.A-kons.";#N/A,#N/A,FALSE,"Note 21-22-23.A-kons.";#N/A,#N/A,FALSE,"Note 25-28.A-kons.";#N/A,#N/A,FALSE,"Note 23-24.A-kons.";#N/A,#N/A,FALSE,"Kont.a.A-kons.";#N/A,#N/A,FALSE,"Note11-12";#N/A,#N/A,FALSE,"Noter res.regn.A-kons. ";#N/A,#N/A,FALSE,"Note 29-30.A-kons.";#N/A,#N/A,FALSE,"Note 31-33.A-kons.";#N/A,#N/A,FALSE,"Note 34-35.A-kons."}</definedName>
    <definedName name="wrn.Regn95.xls." localSheetId="7" hidden="1">{#N/A,#N/A,FALSE,"ResRegn.A-kons.";#N/A,#N/A,FALSE,"Bal3112.A-kons.";#N/A,#N/A,FALSE,"Kont.a.A-kons.";#N/A,#N/A,FALSE,"Kont.a.A-kons.";#N/A,#N/A,FALSE,"Del av Note 9";#N/A,#N/A,FALSE,"Noter Balanse.A-kons.";#N/A,#N/A,FALSE,"Note 18-19.A-kons.";#N/A,#N/A,FALSE,"Note 20-1.A-kons.";#N/A,#N/A,FALSE,"Note 20-2.A-kons.";#N/A,#N/A,FALSE,"Note 21-22-23.A-kons.";#N/A,#N/A,FALSE,"Note 25-28.A-kons.";#N/A,#N/A,FALSE,"Note 23-24.A-kons.";#N/A,#N/A,FALSE,"Kont.a.A-kons.";#N/A,#N/A,FALSE,"Note11-12";#N/A,#N/A,FALSE,"Noter res.regn.A-kons. ";#N/A,#N/A,FALSE,"Note 29-30.A-kons.";#N/A,#N/A,FALSE,"Note 31-33.A-kons.";#N/A,#N/A,FALSE,"Note 34-35.A-kons."}</definedName>
    <definedName name="wrn.Regn95.xls." localSheetId="10" hidden="1">{#N/A,#N/A,FALSE,"ResRegn.A-kons.";#N/A,#N/A,FALSE,"Bal3112.A-kons.";#N/A,#N/A,FALSE,"Kont.a.A-kons.";#N/A,#N/A,FALSE,"Kont.a.A-kons.";#N/A,#N/A,FALSE,"Del av Note 9";#N/A,#N/A,FALSE,"Noter Balanse.A-kons.";#N/A,#N/A,FALSE,"Note 18-19.A-kons.";#N/A,#N/A,FALSE,"Note 20-1.A-kons.";#N/A,#N/A,FALSE,"Note 20-2.A-kons.";#N/A,#N/A,FALSE,"Note 21-22-23.A-kons.";#N/A,#N/A,FALSE,"Note 25-28.A-kons.";#N/A,#N/A,FALSE,"Note 23-24.A-kons.";#N/A,#N/A,FALSE,"Kont.a.A-kons.";#N/A,#N/A,FALSE,"Note11-12";#N/A,#N/A,FALSE,"Noter res.regn.A-kons. ";#N/A,#N/A,FALSE,"Note 29-30.A-kons.";#N/A,#N/A,FALSE,"Note 31-33.A-kons.";#N/A,#N/A,FALSE,"Note 34-35.A-kons."}</definedName>
    <definedName name="wrn.Regn95.xls." localSheetId="11" hidden="1">{#N/A,#N/A,FALSE,"ResRegn.A-kons.";#N/A,#N/A,FALSE,"Bal3112.A-kons.";#N/A,#N/A,FALSE,"Kont.a.A-kons.";#N/A,#N/A,FALSE,"Kont.a.A-kons.";#N/A,#N/A,FALSE,"Del av Note 9";#N/A,#N/A,FALSE,"Noter Balanse.A-kons.";#N/A,#N/A,FALSE,"Note 18-19.A-kons.";#N/A,#N/A,FALSE,"Note 20-1.A-kons.";#N/A,#N/A,FALSE,"Note 20-2.A-kons.";#N/A,#N/A,FALSE,"Note 21-22-23.A-kons.";#N/A,#N/A,FALSE,"Note 25-28.A-kons.";#N/A,#N/A,FALSE,"Note 23-24.A-kons.";#N/A,#N/A,FALSE,"Kont.a.A-kons.";#N/A,#N/A,FALSE,"Note11-12";#N/A,#N/A,FALSE,"Noter res.regn.A-kons. ";#N/A,#N/A,FALSE,"Note 29-30.A-kons.";#N/A,#N/A,FALSE,"Note 31-33.A-kons.";#N/A,#N/A,FALSE,"Note 34-35.A-kons."}</definedName>
    <definedName name="wrn.Regn95.xls." localSheetId="5" hidden="1">{#N/A,#N/A,FALSE,"ResRegn.A-kons.";#N/A,#N/A,FALSE,"Bal3112.A-kons.";#N/A,#N/A,FALSE,"Kont.a.A-kons.";#N/A,#N/A,FALSE,"Kont.a.A-kons.";#N/A,#N/A,FALSE,"Del av Note 9";#N/A,#N/A,FALSE,"Noter Balanse.A-kons.";#N/A,#N/A,FALSE,"Note 18-19.A-kons.";#N/A,#N/A,FALSE,"Note 20-1.A-kons.";#N/A,#N/A,FALSE,"Note 20-2.A-kons.";#N/A,#N/A,FALSE,"Note 21-22-23.A-kons.";#N/A,#N/A,FALSE,"Note 25-28.A-kons.";#N/A,#N/A,FALSE,"Note 23-24.A-kons.";#N/A,#N/A,FALSE,"Kont.a.A-kons.";#N/A,#N/A,FALSE,"Note11-12";#N/A,#N/A,FALSE,"Noter res.regn.A-kons. ";#N/A,#N/A,FALSE,"Note 29-30.A-kons.";#N/A,#N/A,FALSE,"Note 31-33.A-kons.";#N/A,#N/A,FALSE,"Note 34-35.A-kons."}</definedName>
    <definedName name="wrn.Regn95.xls." localSheetId="4" hidden="1">{#N/A,#N/A,FALSE,"ResRegn.A-kons.";#N/A,#N/A,FALSE,"Bal3112.A-kons.";#N/A,#N/A,FALSE,"Kont.a.A-kons.";#N/A,#N/A,FALSE,"Kont.a.A-kons.";#N/A,#N/A,FALSE,"Del av Note 9";#N/A,#N/A,FALSE,"Noter Balanse.A-kons.";#N/A,#N/A,FALSE,"Note 18-19.A-kons.";#N/A,#N/A,FALSE,"Note 20-1.A-kons.";#N/A,#N/A,FALSE,"Note 20-2.A-kons.";#N/A,#N/A,FALSE,"Note 21-22-23.A-kons.";#N/A,#N/A,FALSE,"Note 25-28.A-kons.";#N/A,#N/A,FALSE,"Note 23-24.A-kons.";#N/A,#N/A,FALSE,"Kont.a.A-kons.";#N/A,#N/A,FALSE,"Note11-12";#N/A,#N/A,FALSE,"Noter res.regn.A-kons. ";#N/A,#N/A,FALSE,"Note 29-30.A-kons.";#N/A,#N/A,FALSE,"Note 31-33.A-kons.";#N/A,#N/A,FALSE,"Note 34-35.A-kons."}</definedName>
    <definedName name="wrn.Regn95.xls." hidden="1">{#N/A,#N/A,FALSE,"ResRegn.A-kons.";#N/A,#N/A,FALSE,"Bal3112.A-kons.";#N/A,#N/A,FALSE,"Kont.a.A-kons.";#N/A,#N/A,FALSE,"Kont.a.A-kons.";#N/A,#N/A,FALSE,"Del av Note 9";#N/A,#N/A,FALSE,"Noter Balanse.A-kons.";#N/A,#N/A,FALSE,"Note 18-19.A-kons.";#N/A,#N/A,FALSE,"Note 20-1.A-kons.";#N/A,#N/A,FALSE,"Note 20-2.A-kons.";#N/A,#N/A,FALSE,"Note 21-22-23.A-kons.";#N/A,#N/A,FALSE,"Note 25-28.A-kons.";#N/A,#N/A,FALSE,"Note 23-24.A-kons.";#N/A,#N/A,FALSE,"Kont.a.A-kons.";#N/A,#N/A,FALSE,"Note11-12";#N/A,#N/A,FALSE,"Noter res.regn.A-kons. ";#N/A,#N/A,FALSE,"Note 29-30.A-kons.";#N/A,#N/A,FALSE,"Note 31-33.A-kons.";#N/A,#N/A,FALSE,"Note 34-35.A-kons."}</definedName>
    <definedName name="wrn.RegnAker.xls." localSheetId="3" hidden="1">{#N/A,#N/A,FALSE,"Res.regn.Aker a.s";#N/A,#N/A,FALSE,"Balanse3112.Aker a.s";#N/A,#N/A,FALSE,"Kont.anal.Aker a.s ";#N/A,#N/A,FALSE,"Noter 1-2.Aker a.s";#N/A,#N/A,FALSE,"Noter 3-7.Aker a.s";#N/A,#N/A,FALSE,"Rev.beretning 95"}</definedName>
    <definedName name="wrn.RegnAker.xls." localSheetId="6" hidden="1">{#N/A,#N/A,FALSE,"Res.regn.Aker a.s";#N/A,#N/A,FALSE,"Balanse3112.Aker a.s";#N/A,#N/A,FALSE,"Kont.anal.Aker a.s ";#N/A,#N/A,FALSE,"Noter 1-2.Aker a.s";#N/A,#N/A,FALSE,"Noter 3-7.Aker a.s";#N/A,#N/A,FALSE,"Rev.beretning 95"}</definedName>
    <definedName name="wrn.RegnAker.xls." localSheetId="7" hidden="1">{#N/A,#N/A,FALSE,"Res.regn.Aker a.s";#N/A,#N/A,FALSE,"Balanse3112.Aker a.s";#N/A,#N/A,FALSE,"Kont.anal.Aker a.s ";#N/A,#N/A,FALSE,"Noter 1-2.Aker a.s";#N/A,#N/A,FALSE,"Noter 3-7.Aker a.s";#N/A,#N/A,FALSE,"Rev.beretning 95"}</definedName>
    <definedName name="wrn.RegnAker.xls." localSheetId="10" hidden="1">{#N/A,#N/A,FALSE,"Res.regn.Aker a.s";#N/A,#N/A,FALSE,"Balanse3112.Aker a.s";#N/A,#N/A,FALSE,"Kont.anal.Aker a.s ";#N/A,#N/A,FALSE,"Noter 1-2.Aker a.s";#N/A,#N/A,FALSE,"Noter 3-7.Aker a.s";#N/A,#N/A,FALSE,"Rev.beretning 95"}</definedName>
    <definedName name="wrn.RegnAker.xls." localSheetId="11" hidden="1">{#N/A,#N/A,FALSE,"Res.regn.Aker a.s";#N/A,#N/A,FALSE,"Balanse3112.Aker a.s";#N/A,#N/A,FALSE,"Kont.anal.Aker a.s ";#N/A,#N/A,FALSE,"Noter 1-2.Aker a.s";#N/A,#N/A,FALSE,"Noter 3-7.Aker a.s";#N/A,#N/A,FALSE,"Rev.beretning 95"}</definedName>
    <definedName name="wrn.RegnAker.xls." localSheetId="5" hidden="1">{#N/A,#N/A,FALSE,"Res.regn.Aker a.s";#N/A,#N/A,FALSE,"Balanse3112.Aker a.s";#N/A,#N/A,FALSE,"Kont.anal.Aker a.s ";#N/A,#N/A,FALSE,"Noter 1-2.Aker a.s";#N/A,#N/A,FALSE,"Noter 3-7.Aker a.s";#N/A,#N/A,FALSE,"Rev.beretning 95"}</definedName>
    <definedName name="wrn.RegnAker.xls." localSheetId="4" hidden="1">{#N/A,#N/A,FALSE,"Res.regn.Aker a.s";#N/A,#N/A,FALSE,"Balanse3112.Aker a.s";#N/A,#N/A,FALSE,"Kont.anal.Aker a.s ";#N/A,#N/A,FALSE,"Noter 1-2.Aker a.s";#N/A,#N/A,FALSE,"Noter 3-7.Aker a.s";#N/A,#N/A,FALSE,"Rev.beretning 95"}</definedName>
    <definedName name="wrn.RegnAker.xls." hidden="1">{#N/A,#N/A,FALSE,"Res.regn.Aker a.s";#N/A,#N/A,FALSE,"Balanse3112.Aker a.s";#N/A,#N/A,FALSE,"Kont.anal.Aker a.s ";#N/A,#N/A,FALSE,"Noter 1-2.Aker a.s";#N/A,#N/A,FALSE,"Noter 3-7.Aker a.s";#N/A,#N/A,FALSE,"Rev.beretning 95"}</definedName>
    <definedName name="wrn.Relatório._.01." localSheetId="3" hidden="1">{#N/A,#N/A,TRUE,"Resumo de Preços"}</definedName>
    <definedName name="wrn.Relatório._.01." localSheetId="6" hidden="1">{#N/A,#N/A,TRUE,"Resumo de Preços"}</definedName>
    <definedName name="wrn.Relatório._.01." localSheetId="7" hidden="1">{#N/A,#N/A,TRUE,"Resumo de Preços"}</definedName>
    <definedName name="wrn.Relatório._.01." localSheetId="10" hidden="1">{#N/A,#N/A,TRUE,"Resumo de Preços"}</definedName>
    <definedName name="wrn.Relatório._.01." localSheetId="11" hidden="1">{#N/A,#N/A,TRUE,"Resumo de Preços"}</definedName>
    <definedName name="wrn.Relatório._.01." localSheetId="5" hidden="1">{#N/A,#N/A,TRUE,"Resumo de Preços"}</definedName>
    <definedName name="wrn.Relatório._.01." localSheetId="4" hidden="1">{#N/A,#N/A,TRUE,"Resumo de Preços"}</definedName>
    <definedName name="wrn.Relatório._.01." localSheetId="1" hidden="1">{#N/A,#N/A,TRUE,"Resumo de Preços"}</definedName>
    <definedName name="wrn.Relatório._.01." localSheetId="2" hidden="1">{#N/A,#N/A,TRUE,"Resumo de Preços"}</definedName>
    <definedName name="wrn.Relatório._.01." hidden="1">{#N/A,#N/A,TRUE,"Resumo de Preços"}</definedName>
    <definedName name="wrn.Relatório._.Porto." localSheetId="3"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wrn.Relatório._.Porto." localSheetId="6"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wrn.Relatório._.Porto." localSheetId="7"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wrn.Relatório._.Porto." localSheetId="10"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wrn.Relatório._.Porto." localSheetId="11"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wrn.Relatório._.Porto." localSheetId="5"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wrn.Relatório._.Porto." localSheetId="4"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wrn.Relatório._.Porto."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wrn.RELPAC." localSheetId="3"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wrn.RELPAC." localSheetId="6"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wrn.RELPAC." localSheetId="7"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wrn.RELPAC." localSheetId="10"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wrn.RELPAC." localSheetId="11"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wrn.RELPAC." localSheetId="5"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wrn.RELPAC." localSheetId="4"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wrn.RELPAC." hidden="1">{#N/A,#N/A,FALSE,"VPLASIS";#N/A,#N/A,FALSE,"VPLPE";#N/A,#N/A,FALSE,"VPLBR";#N/A,#N/A,FALSE,"CTOTPESEAS";#N/A,#N/A,FALSE,"CTOTBRCKS";#N/A,#N/A,FALSE,"CTOTBRCKS";#N/A,#N/A,FALSE,"COMPARATIVO";#N/A,#N/A,FALSE,"QUADRO 1";#N/A,#N/A,FALSE,"QUADRO 2";#N/A,#N/A,FALSE,"GRAF1. DET";#N/A,#N/A,FALSE,"PAC";#N/A,#N/A,FALSE,"QD1 PEL";#N/A,#N/A,FALSE,"QD2 PEL";#N/A,#N/A,FALSE,"QD3 PEL";#N/A,#N/A,FALSE,"GRAF1 PEL"}</definedName>
    <definedName name="wrn.sales." localSheetId="3" hidden="1">{"sales",#N/A,FALSE,"Sales";"sales existing",#N/A,FALSE,"Sales";"sales rd1",#N/A,FALSE,"Sales";"sales rd2",#N/A,FALSE,"Sales"}</definedName>
    <definedName name="wrn.sales." localSheetId="6" hidden="1">{"sales",#N/A,FALSE,"Sales";"sales existing",#N/A,FALSE,"Sales";"sales rd1",#N/A,FALSE,"Sales";"sales rd2",#N/A,FALSE,"Sales"}</definedName>
    <definedName name="wrn.sales." localSheetId="7" hidden="1">{"sales",#N/A,FALSE,"Sales";"sales existing",#N/A,FALSE,"Sales";"sales rd1",#N/A,FALSE,"Sales";"sales rd2",#N/A,FALSE,"Sales"}</definedName>
    <definedName name="wrn.sales." localSheetId="10" hidden="1">{"sales",#N/A,FALSE,"Sales";"sales existing",#N/A,FALSE,"Sales";"sales rd1",#N/A,FALSE,"Sales";"sales rd2",#N/A,FALSE,"Sales"}</definedName>
    <definedName name="wrn.sales." localSheetId="11" hidden="1">{"sales",#N/A,FALSE,"Sales";"sales existing",#N/A,FALSE,"Sales";"sales rd1",#N/A,FALSE,"Sales";"sales rd2",#N/A,FALSE,"Sales"}</definedName>
    <definedName name="wrn.sales." localSheetId="5" hidden="1">{"sales",#N/A,FALSE,"Sales";"sales existing",#N/A,FALSE,"Sales";"sales rd1",#N/A,FALSE,"Sales";"sales rd2",#N/A,FALSE,"Sales"}</definedName>
    <definedName name="wrn.sales." localSheetId="4" hidden="1">{"sales",#N/A,FALSE,"Sales";"sales existing",#N/A,FALSE,"Sales";"sales rd1",#N/A,FALSE,"Sales";"sales rd2",#N/A,FALSE,"Sales"}</definedName>
    <definedName name="wrn.sales." hidden="1">{"sales",#N/A,FALSE,"Sales";"sales existing",#N/A,FALSE,"Sales";"sales rd1",#N/A,FALSE,"Sales";"sales rd2",#N/A,FALSE,"Sales"}</definedName>
    <definedName name="wrn.SHORT." localSheetId="3" hidden="1">{"CREDIT STATISTICS",#N/A,FALSE,"STATS";"CF_AND_IS",#N/A,FALSE,"PLAN";"BALSHEET",#N/A,FALSE,"BALANCE SHEET"}</definedName>
    <definedName name="wrn.SHORT." localSheetId="6" hidden="1">{"CREDIT STATISTICS",#N/A,FALSE,"STATS";"CF_AND_IS",#N/A,FALSE,"PLAN";"BALSHEET",#N/A,FALSE,"BALANCE SHEET"}</definedName>
    <definedName name="wrn.SHORT." localSheetId="7" hidden="1">{"CREDIT STATISTICS",#N/A,FALSE,"STATS";"CF_AND_IS",#N/A,FALSE,"PLAN";"BALSHEET",#N/A,FALSE,"BALANCE SHEET"}</definedName>
    <definedName name="wrn.SHORT." localSheetId="10" hidden="1">{"CREDIT STATISTICS",#N/A,FALSE,"STATS";"CF_AND_IS",#N/A,FALSE,"PLAN";"BALSHEET",#N/A,FALSE,"BALANCE SHEET"}</definedName>
    <definedName name="wrn.SHORT." localSheetId="11" hidden="1">{"CREDIT STATISTICS",#N/A,FALSE,"STATS";"CF_AND_IS",#N/A,FALSE,"PLAN";"BALSHEET",#N/A,FALSE,"BALANCE SHEET"}</definedName>
    <definedName name="wrn.SHORT." localSheetId="5" hidden="1">{"CREDIT STATISTICS",#N/A,FALSE,"STATS";"CF_AND_IS",#N/A,FALSE,"PLAN";"BALSHEET",#N/A,FALSE,"BALANCE SHEET"}</definedName>
    <definedName name="wrn.SHORT." localSheetId="4" hidden="1">{"CREDIT STATISTICS",#N/A,FALSE,"STATS";"CF_AND_IS",#N/A,FALSE,"PLAN";"BALSHEET",#N/A,FALSE,"BALANCE SHEET"}</definedName>
    <definedName name="wrn.SHORT." hidden="1">{"CREDIT STATISTICS",#N/A,FALSE,"STATS";"CF_AND_IS",#N/A,FALSE,"PLAN";"BALSHEET",#N/A,FALSE,"BALANCE SHEET"}</definedName>
    <definedName name="wrn.SITUAÇÃO._.DIÁRIA." localSheetId="3" hidden="1">{#N/A,#N/A,FALSE,"SITUAÇÃO DIÁRIA ";#N/A,#N/A,FALSE,"7 à 7"}</definedName>
    <definedName name="wrn.SITUAÇÃO._.DIÁRIA." localSheetId="6" hidden="1">{#N/A,#N/A,FALSE,"SITUAÇÃO DIÁRIA ";#N/A,#N/A,FALSE,"7 à 7"}</definedName>
    <definedName name="wrn.SITUAÇÃO._.DIÁRIA." localSheetId="7" hidden="1">{#N/A,#N/A,FALSE,"SITUAÇÃO DIÁRIA ";#N/A,#N/A,FALSE,"7 à 7"}</definedName>
    <definedName name="wrn.SITUAÇÃO._.DIÁRIA." localSheetId="10" hidden="1">{#N/A,#N/A,FALSE,"SITUAÇÃO DIÁRIA ";#N/A,#N/A,FALSE,"7 à 7"}</definedName>
    <definedName name="wrn.SITUAÇÃO._.DIÁRIA." localSheetId="11" hidden="1">{#N/A,#N/A,FALSE,"SITUAÇÃO DIÁRIA ";#N/A,#N/A,FALSE,"7 à 7"}</definedName>
    <definedName name="wrn.SITUAÇÃO._.DIÁRIA." localSheetId="5" hidden="1">{#N/A,#N/A,FALSE,"SITUAÇÃO DIÁRIA ";#N/A,#N/A,FALSE,"7 à 7"}</definedName>
    <definedName name="wrn.SITUAÇÃO._.DIÁRIA." localSheetId="4" hidden="1">{#N/A,#N/A,FALSE,"SITUAÇÃO DIÁRIA ";#N/A,#N/A,FALSE,"7 à 7"}</definedName>
    <definedName name="wrn.SITUAÇÃO._.DIÁRIA." hidden="1">{#N/A,#N/A,FALSE,"SITUAÇÃO DIÁRIA ";#N/A,#N/A,FALSE,"7 à 7"}</definedName>
    <definedName name="wrn.Standard." localSheetId="3" hidden="1">{#N/A,#N/A,TRUE,"Summary";#N/A,#N/A,TRUE,"Worksheet"}</definedName>
    <definedName name="wrn.Standard." localSheetId="6" hidden="1">{#N/A,#N/A,TRUE,"Summary";#N/A,#N/A,TRUE,"Worksheet"}</definedName>
    <definedName name="wrn.Standard." localSheetId="7" hidden="1">{#N/A,#N/A,TRUE,"Summary";#N/A,#N/A,TRUE,"Worksheet"}</definedName>
    <definedName name="wrn.Standard." localSheetId="10" hidden="1">{#N/A,#N/A,TRUE,"Summary";#N/A,#N/A,TRUE,"Worksheet"}</definedName>
    <definedName name="wrn.Standard." localSheetId="11" hidden="1">{#N/A,#N/A,TRUE,"Summary";#N/A,#N/A,TRUE,"Worksheet"}</definedName>
    <definedName name="wrn.Standard." localSheetId="5" hidden="1">{#N/A,#N/A,TRUE,"Summary";#N/A,#N/A,TRUE,"Worksheet"}</definedName>
    <definedName name="wrn.Standard." localSheetId="4" hidden="1">{#N/A,#N/A,TRUE,"Summary";#N/A,#N/A,TRUE,"Worksheet"}</definedName>
    <definedName name="wrn.Standard." hidden="1">{#N/A,#N/A,TRUE,"Summary";#N/A,#N/A,TRUE,"Worksheet"}</definedName>
    <definedName name="wrn.suibud." localSheetId="3" hidden="1">{"tbl1",#N/A,FALSE,"regul";"tbl2",#N/A,FALSE,"regul"}</definedName>
    <definedName name="wrn.suibud." localSheetId="6" hidden="1">{"tbl1",#N/A,FALSE,"regul";"tbl2",#N/A,FALSE,"regul"}</definedName>
    <definedName name="wrn.suibud." localSheetId="7" hidden="1">{"tbl1",#N/A,FALSE,"regul";"tbl2",#N/A,FALSE,"regul"}</definedName>
    <definedName name="wrn.suibud." localSheetId="10" hidden="1">{"tbl1",#N/A,FALSE,"regul";"tbl2",#N/A,FALSE,"regul"}</definedName>
    <definedName name="wrn.suibud." localSheetId="11" hidden="1">{"tbl1",#N/A,FALSE,"regul";"tbl2",#N/A,FALSE,"regul"}</definedName>
    <definedName name="wrn.suibud." localSheetId="5" hidden="1">{"tbl1",#N/A,FALSE,"regul";"tbl2",#N/A,FALSE,"regul"}</definedName>
    <definedName name="wrn.suibud." localSheetId="4" hidden="1">{"tbl1",#N/A,FALSE,"regul";"tbl2",#N/A,FALSE,"regul"}</definedName>
    <definedName name="wrn.suibud." hidden="1">{"tbl1",#N/A,FALSE,"regul";"tbl2",#N/A,FALSE,"regul"}</definedName>
    <definedName name="wrn.suivi." localSheetId="3" hidden="1">{"moy",#N/A,FALSE,"CAMBRAI";"paie",#N/A,FALSE,"CAMBRAI"}</definedName>
    <definedName name="wrn.suivi." localSheetId="6" hidden="1">{"moy",#N/A,FALSE,"CAMBRAI";"paie",#N/A,FALSE,"CAMBRAI"}</definedName>
    <definedName name="wrn.suivi." localSheetId="7" hidden="1">{"moy",#N/A,FALSE,"CAMBRAI";"paie",#N/A,FALSE,"CAMBRAI"}</definedName>
    <definedName name="wrn.suivi." localSheetId="10" hidden="1">{"moy",#N/A,FALSE,"CAMBRAI";"paie",#N/A,FALSE,"CAMBRAI"}</definedName>
    <definedName name="wrn.suivi." localSheetId="11" hidden="1">{"moy",#N/A,FALSE,"CAMBRAI";"paie",#N/A,FALSE,"CAMBRAI"}</definedName>
    <definedName name="wrn.suivi." localSheetId="5" hidden="1">{"moy",#N/A,FALSE,"CAMBRAI";"paie",#N/A,FALSE,"CAMBRAI"}</definedName>
    <definedName name="wrn.suivi." localSheetId="4" hidden="1">{"moy",#N/A,FALSE,"CAMBRAI";"paie",#N/A,FALSE,"CAMBRAI"}</definedName>
    <definedName name="wrn.suivi." hidden="1">{"moy",#N/A,FALSE,"CAMBRAI";"paie",#N/A,FALSE,"CAMBRAI"}</definedName>
    <definedName name="wrn.SUMMARY." localSheetId="3"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wrn.SUMMARY." localSheetId="6"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wrn.SUMMARY." localSheetId="7"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wrn.SUMMARY." localSheetId="10"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wrn.SUMMARY." localSheetId="11"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wrn.SUMMARY." localSheetId="5"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wrn.SUMMARY." localSheetId="4"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wrn.SUMMARY."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wrn.Tabs._.for._.Dave." localSheetId="3" hidden="1">{#N/A,#N/A,FALSE,"CW Summary";#N/A,#N/A,FALSE,"Weekly Tracking";#N/A,#N/A,FALSE,"MSA";#N/A,#N/A,FALSE,"Parts";#N/A,#N/A,FALSE,"RS";#N/A,#N/A,FALSE,"Mods";#N/A,#N/A,FALSE,"GEVISA"}</definedName>
    <definedName name="wrn.Tabs._.for._.Dave." localSheetId="6" hidden="1">{#N/A,#N/A,FALSE,"CW Summary";#N/A,#N/A,FALSE,"Weekly Tracking";#N/A,#N/A,FALSE,"MSA";#N/A,#N/A,FALSE,"Parts";#N/A,#N/A,FALSE,"RS";#N/A,#N/A,FALSE,"Mods";#N/A,#N/A,FALSE,"GEVISA"}</definedName>
    <definedName name="wrn.Tabs._.for._.Dave." localSheetId="7" hidden="1">{#N/A,#N/A,FALSE,"CW Summary";#N/A,#N/A,FALSE,"Weekly Tracking";#N/A,#N/A,FALSE,"MSA";#N/A,#N/A,FALSE,"Parts";#N/A,#N/A,FALSE,"RS";#N/A,#N/A,FALSE,"Mods";#N/A,#N/A,FALSE,"GEVISA"}</definedName>
    <definedName name="wrn.Tabs._.for._.Dave." localSheetId="10" hidden="1">{#N/A,#N/A,FALSE,"CW Summary";#N/A,#N/A,FALSE,"Weekly Tracking";#N/A,#N/A,FALSE,"MSA";#N/A,#N/A,FALSE,"Parts";#N/A,#N/A,FALSE,"RS";#N/A,#N/A,FALSE,"Mods";#N/A,#N/A,FALSE,"GEVISA"}</definedName>
    <definedName name="wrn.Tabs._.for._.Dave." localSheetId="11" hidden="1">{#N/A,#N/A,FALSE,"CW Summary";#N/A,#N/A,FALSE,"Weekly Tracking";#N/A,#N/A,FALSE,"MSA";#N/A,#N/A,FALSE,"Parts";#N/A,#N/A,FALSE,"RS";#N/A,#N/A,FALSE,"Mods";#N/A,#N/A,FALSE,"GEVISA"}</definedName>
    <definedName name="wrn.Tabs._.for._.Dave." localSheetId="5" hidden="1">{#N/A,#N/A,FALSE,"CW Summary";#N/A,#N/A,FALSE,"Weekly Tracking";#N/A,#N/A,FALSE,"MSA";#N/A,#N/A,FALSE,"Parts";#N/A,#N/A,FALSE,"RS";#N/A,#N/A,FALSE,"Mods";#N/A,#N/A,FALSE,"GEVISA"}</definedName>
    <definedName name="wrn.Tabs._.for._.Dave." localSheetId="4" hidden="1">{#N/A,#N/A,FALSE,"CW Summary";#N/A,#N/A,FALSE,"Weekly Tracking";#N/A,#N/A,FALSE,"MSA";#N/A,#N/A,FALSE,"Parts";#N/A,#N/A,FALSE,"RS";#N/A,#N/A,FALSE,"Mods";#N/A,#N/A,FALSE,"GEVISA"}</definedName>
    <definedName name="wrn.Tabs._.for._.Dave." hidden="1">{#N/A,#N/A,FALSE,"CW Summary";#N/A,#N/A,FALSE,"Weekly Tracking";#N/A,#N/A,FALSE,"MSA";#N/A,#N/A,FALSE,"Parts";#N/A,#N/A,FALSE,"RS";#N/A,#N/A,FALSE,"Mods";#N/A,#N/A,FALSE,"GEVISA"}</definedName>
    <definedName name="wrn.TARGET._.DCF." localSheetId="3" hidden="1">{"targetdcf",#N/A,FALSE,"Merger consequences";"TARGETASSU",#N/A,FALSE,"Merger consequences";"TERMINAL VALUE",#N/A,FALSE,"Merger consequences"}</definedName>
    <definedName name="wrn.TARGET._.DCF." localSheetId="6" hidden="1">{"targetdcf",#N/A,FALSE,"Merger consequences";"TARGETASSU",#N/A,FALSE,"Merger consequences";"TERMINAL VALUE",#N/A,FALSE,"Merger consequences"}</definedName>
    <definedName name="wrn.TARGET._.DCF." localSheetId="7" hidden="1">{"targetdcf",#N/A,FALSE,"Merger consequences";"TARGETASSU",#N/A,FALSE,"Merger consequences";"TERMINAL VALUE",#N/A,FALSE,"Merger consequences"}</definedName>
    <definedName name="wrn.TARGET._.DCF." localSheetId="10" hidden="1">{"targetdcf",#N/A,FALSE,"Merger consequences";"TARGETASSU",#N/A,FALSE,"Merger consequences";"TERMINAL VALUE",#N/A,FALSE,"Merger consequences"}</definedName>
    <definedName name="wrn.TARGET._.DCF." localSheetId="11" hidden="1">{"targetdcf",#N/A,FALSE,"Merger consequences";"TARGETASSU",#N/A,FALSE,"Merger consequences";"TERMINAL VALUE",#N/A,FALSE,"Merger consequences"}</definedName>
    <definedName name="wrn.TARGET._.DCF." localSheetId="5" hidden="1">{"targetdcf",#N/A,FALSE,"Merger consequences";"TARGETASSU",#N/A,FALSE,"Merger consequences";"TERMINAL VALUE",#N/A,FALSE,"Merger consequences"}</definedName>
    <definedName name="wrn.TARGET._.DCF." localSheetId="4" hidden="1">{"targetdcf",#N/A,FALSE,"Merger consequences";"TARGETASSU",#N/A,FALSE,"Merger consequences";"TERMINAL VALUE",#N/A,FALSE,"Merger consequences"}</definedName>
    <definedName name="wrn.TARGET._.DCF." hidden="1">{"targetdcf",#N/A,FALSE,"Merger consequences";"TARGETASSU",#N/A,FALSE,"Merger consequences";"TERMINAL VALUE",#N/A,FALSE,"Merger consequences"}</definedName>
    <definedName name="wrn.test" localSheetId="3" hidden="1">{"test",#N/A,FALSE,"ResRegn.A-kons.";"test",#N/A,FALSE,"Note11-12";"test1",#N/A,FALSE,"Note11-12"}</definedName>
    <definedName name="wrn.test" localSheetId="6" hidden="1">{"test",#N/A,FALSE,"ResRegn.A-kons.";"test",#N/A,FALSE,"Note11-12";"test1",#N/A,FALSE,"Note11-12"}</definedName>
    <definedName name="wrn.test" localSheetId="7" hidden="1">{"test",#N/A,FALSE,"ResRegn.A-kons.";"test",#N/A,FALSE,"Note11-12";"test1",#N/A,FALSE,"Note11-12"}</definedName>
    <definedName name="wrn.test" localSheetId="10" hidden="1">{"test",#N/A,FALSE,"ResRegn.A-kons.";"test",#N/A,FALSE,"Note11-12";"test1",#N/A,FALSE,"Note11-12"}</definedName>
    <definedName name="wrn.test" localSheetId="11" hidden="1">{"test",#N/A,FALSE,"ResRegn.A-kons.";"test",#N/A,FALSE,"Note11-12";"test1",#N/A,FALSE,"Note11-12"}</definedName>
    <definedName name="wrn.test" localSheetId="5" hidden="1">{"test",#N/A,FALSE,"ResRegn.A-kons.";"test",#N/A,FALSE,"Note11-12";"test1",#N/A,FALSE,"Note11-12"}</definedName>
    <definedName name="wrn.test" localSheetId="4" hidden="1">{"test",#N/A,FALSE,"ResRegn.A-kons.";"test",#N/A,FALSE,"Note11-12";"test1",#N/A,FALSE,"Note11-12"}</definedName>
    <definedName name="wrn.test" hidden="1">{"test",#N/A,FALSE,"ResRegn.A-kons.";"test",#N/A,FALSE,"Note11-12";"test1",#N/A,FALSE,"Note11-12"}</definedName>
    <definedName name="wrn.test2." localSheetId="3" hidden="1">{"test",#N/A,FALSE,"ResRegn.A-kons.";"test",#N/A,FALSE,"Note11-12";"test1",#N/A,FALSE,"Note11-12"}</definedName>
    <definedName name="wrn.test2." localSheetId="6" hidden="1">{"test",#N/A,FALSE,"ResRegn.A-kons.";"test",#N/A,FALSE,"Note11-12";"test1",#N/A,FALSE,"Note11-12"}</definedName>
    <definedName name="wrn.test2." localSheetId="7" hidden="1">{"test",#N/A,FALSE,"ResRegn.A-kons.";"test",#N/A,FALSE,"Note11-12";"test1",#N/A,FALSE,"Note11-12"}</definedName>
    <definedName name="wrn.test2." localSheetId="10" hidden="1">{"test",#N/A,FALSE,"ResRegn.A-kons.";"test",#N/A,FALSE,"Note11-12";"test1",#N/A,FALSE,"Note11-12"}</definedName>
    <definedName name="wrn.test2." localSheetId="11" hidden="1">{"test",#N/A,FALSE,"ResRegn.A-kons.";"test",#N/A,FALSE,"Note11-12";"test1",#N/A,FALSE,"Note11-12"}</definedName>
    <definedName name="wrn.test2." localSheetId="5" hidden="1">{"test",#N/A,FALSE,"ResRegn.A-kons.";"test",#N/A,FALSE,"Note11-12";"test1",#N/A,FALSE,"Note11-12"}</definedName>
    <definedName name="wrn.test2." localSheetId="4" hidden="1">{"test",#N/A,FALSE,"ResRegn.A-kons.";"test",#N/A,FALSE,"Note11-12";"test1",#N/A,FALSE,"Note11-12"}</definedName>
    <definedName name="wrn.test2." hidden="1">{"test",#N/A,FALSE,"ResRegn.A-kons.";"test",#N/A,FALSE,"Note11-12";"test1",#N/A,FALSE,"Note11-12"}</definedName>
    <definedName name="wrn.teste." localSheetId="3" hidden="1">{#N/A,#N/A,TRUE,"indice";#N/A,#N/A,TRUE,"indicadores";#N/A,#N/A,TRUE,"comentarios"}</definedName>
    <definedName name="wrn.teste." localSheetId="6" hidden="1">{#N/A,#N/A,TRUE,"indice";#N/A,#N/A,TRUE,"indicadores";#N/A,#N/A,TRUE,"comentarios"}</definedName>
    <definedName name="wrn.teste." localSheetId="7" hidden="1">{#N/A,#N/A,TRUE,"indice";#N/A,#N/A,TRUE,"indicadores";#N/A,#N/A,TRUE,"comentarios"}</definedName>
    <definedName name="wrn.teste." localSheetId="10" hidden="1">{#N/A,#N/A,TRUE,"indice";#N/A,#N/A,TRUE,"indicadores";#N/A,#N/A,TRUE,"comentarios"}</definedName>
    <definedName name="wrn.teste." localSheetId="11" hidden="1">{#N/A,#N/A,TRUE,"indice";#N/A,#N/A,TRUE,"indicadores";#N/A,#N/A,TRUE,"comentarios"}</definedName>
    <definedName name="wrn.teste." localSheetId="5" hidden="1">{#N/A,#N/A,TRUE,"indice";#N/A,#N/A,TRUE,"indicadores";#N/A,#N/A,TRUE,"comentarios"}</definedName>
    <definedName name="wrn.teste." localSheetId="4" hidden="1">{#N/A,#N/A,TRUE,"indice";#N/A,#N/A,TRUE,"indicadores";#N/A,#N/A,TRUE,"comentarios"}</definedName>
    <definedName name="wrn.teste." hidden="1">{#N/A,#N/A,TRUE,"indice";#N/A,#N/A,TRUE,"indicadores";#N/A,#N/A,TRUE,"comentarios"}</definedName>
    <definedName name="wrn.Todas." localSheetId="3" hidden="1">{#N/A,#N/A,FALSE,"Anexo I";#N/A,#N/A,FALSE,"Anexo II";#N/A,#N/A,FALSE,"Anexo III"}</definedName>
    <definedName name="wrn.Todas." localSheetId="6" hidden="1">{#N/A,#N/A,FALSE,"Anexo I";#N/A,#N/A,FALSE,"Anexo II";#N/A,#N/A,FALSE,"Anexo III"}</definedName>
    <definedName name="wrn.Todas." localSheetId="7" hidden="1">{#N/A,#N/A,FALSE,"Anexo I";#N/A,#N/A,FALSE,"Anexo II";#N/A,#N/A,FALSE,"Anexo III"}</definedName>
    <definedName name="wrn.Todas." localSheetId="10" hidden="1">{#N/A,#N/A,FALSE,"Anexo I";#N/A,#N/A,FALSE,"Anexo II";#N/A,#N/A,FALSE,"Anexo III"}</definedName>
    <definedName name="wrn.Todas." localSheetId="11" hidden="1">{#N/A,#N/A,FALSE,"Anexo I";#N/A,#N/A,FALSE,"Anexo II";#N/A,#N/A,FALSE,"Anexo III"}</definedName>
    <definedName name="wrn.Todas." localSheetId="5" hidden="1">{#N/A,#N/A,FALSE,"Anexo I";#N/A,#N/A,FALSE,"Anexo II";#N/A,#N/A,FALSE,"Anexo III"}</definedName>
    <definedName name="wrn.Todas." localSheetId="4" hidden="1">{#N/A,#N/A,FALSE,"Anexo I";#N/A,#N/A,FALSE,"Anexo II";#N/A,#N/A,FALSE,"Anexo III"}</definedName>
    <definedName name="wrn.Todas." hidden="1">{#N/A,#N/A,FALSE,"Anexo I";#N/A,#N/A,FALSE,"Anexo II";#N/A,#N/A,FALSE,"Anexo III"}</definedName>
    <definedName name="wrn.todo." localSheetId="3" hidden="1">{"Caja",#N/A,TRUE,"P&amp;G BG";"PyG",#N/A,TRUE,"P&amp;G BG";"Balance",#N/A,TRUE,"P&amp;G BG"}</definedName>
    <definedName name="wrn.todo." localSheetId="6" hidden="1">{"Caja",#N/A,TRUE,"P&amp;G BG";"PyG",#N/A,TRUE,"P&amp;G BG";"Balance",#N/A,TRUE,"P&amp;G BG"}</definedName>
    <definedName name="wrn.todo." localSheetId="7" hidden="1">{"Caja",#N/A,TRUE,"P&amp;G BG";"PyG",#N/A,TRUE,"P&amp;G BG";"Balance",#N/A,TRUE,"P&amp;G BG"}</definedName>
    <definedName name="wrn.todo." localSheetId="10" hidden="1">{"Caja",#N/A,TRUE,"P&amp;G BG";"PyG",#N/A,TRUE,"P&amp;G BG";"Balance",#N/A,TRUE,"P&amp;G BG"}</definedName>
    <definedName name="wrn.todo." localSheetId="11" hidden="1">{"Caja",#N/A,TRUE,"P&amp;G BG";"PyG",#N/A,TRUE,"P&amp;G BG";"Balance",#N/A,TRUE,"P&amp;G BG"}</definedName>
    <definedName name="wrn.todo." localSheetId="5" hidden="1">{"Caja",#N/A,TRUE,"P&amp;G BG";"PyG",#N/A,TRUE,"P&amp;G BG";"Balance",#N/A,TRUE,"P&amp;G BG"}</definedName>
    <definedName name="wrn.todo." localSheetId="4" hidden="1">{"Caja",#N/A,TRUE,"P&amp;G BG";"PyG",#N/A,TRUE,"P&amp;G BG";"Balance",#N/A,TRUE,"P&amp;G BG"}</definedName>
    <definedName name="wrn.todo." hidden="1">{"Caja",#N/A,TRUE,"P&amp;G BG";"PyG",#N/A,TRUE,"P&amp;G BG";"Balance",#N/A,TRUE,"P&amp;G BG"}</definedName>
    <definedName name="wrn.totsuivi." localSheetId="3" hidden="1">{"TOTMOY",#N/A,FALSE,"TOTFDP";"TOTPAIE",#N/A,FALSE,"TOTFDP"}</definedName>
    <definedName name="wrn.totsuivi." localSheetId="6" hidden="1">{"TOTMOY",#N/A,FALSE,"TOTFDP";"TOTPAIE",#N/A,FALSE,"TOTFDP"}</definedName>
    <definedName name="wrn.totsuivi." localSheetId="7" hidden="1">{"TOTMOY",#N/A,FALSE,"TOTFDP";"TOTPAIE",#N/A,FALSE,"TOTFDP"}</definedName>
    <definedName name="wrn.totsuivi." localSheetId="10" hidden="1">{"TOTMOY",#N/A,FALSE,"TOTFDP";"TOTPAIE",#N/A,FALSE,"TOTFDP"}</definedName>
    <definedName name="wrn.totsuivi." localSheetId="11" hidden="1">{"TOTMOY",#N/A,FALSE,"TOTFDP";"TOTPAIE",#N/A,FALSE,"TOTFDP"}</definedName>
    <definedName name="wrn.totsuivi." localSheetId="5" hidden="1">{"TOTMOY",#N/A,FALSE,"TOTFDP";"TOTPAIE",#N/A,FALSE,"TOTFDP"}</definedName>
    <definedName name="wrn.totsuivi." localSheetId="4" hidden="1">{"TOTMOY",#N/A,FALSE,"TOTFDP";"TOTPAIE",#N/A,FALSE,"TOTFDP"}</definedName>
    <definedName name="wrn.totsuivi." hidden="1">{"TOTMOY",#N/A,FALSE,"TOTFDP";"TOTPAIE",#N/A,FALSE,"TOTFDP"}</definedName>
    <definedName name="wrn.Utdr_div.xls." localSheetId="3" hidden="1">{#N/A,#N/A,FALSE,"REGNSKAPSUTDRAG DIVISJON";#N/A,#N/A,FALSE,"Nøkkeltall"}</definedName>
    <definedName name="wrn.Utdr_div.xls." localSheetId="6" hidden="1">{#N/A,#N/A,FALSE,"REGNSKAPSUTDRAG DIVISJON";#N/A,#N/A,FALSE,"Nøkkeltall"}</definedName>
    <definedName name="wrn.Utdr_div.xls." localSheetId="7" hidden="1">{#N/A,#N/A,FALSE,"REGNSKAPSUTDRAG DIVISJON";#N/A,#N/A,FALSE,"Nøkkeltall"}</definedName>
    <definedName name="wrn.Utdr_div.xls." localSheetId="10" hidden="1">{#N/A,#N/A,FALSE,"REGNSKAPSUTDRAG DIVISJON";#N/A,#N/A,FALSE,"Nøkkeltall"}</definedName>
    <definedName name="wrn.Utdr_div.xls." localSheetId="11" hidden="1">{#N/A,#N/A,FALSE,"REGNSKAPSUTDRAG DIVISJON";#N/A,#N/A,FALSE,"Nøkkeltall"}</definedName>
    <definedName name="wrn.Utdr_div.xls." localSheetId="5" hidden="1">{#N/A,#N/A,FALSE,"REGNSKAPSUTDRAG DIVISJON";#N/A,#N/A,FALSE,"Nøkkeltall"}</definedName>
    <definedName name="wrn.Utdr_div.xls." localSheetId="4" hidden="1">{#N/A,#N/A,FALSE,"REGNSKAPSUTDRAG DIVISJON";#N/A,#N/A,FALSE,"Nøkkeltall"}</definedName>
    <definedName name="wrn.Utdr_div.xls." hidden="1">{#N/A,#N/A,FALSE,"REGNSKAPSUTDRAG DIVISJON";#N/A,#N/A,FALSE,"Nøkkeltall"}</definedName>
    <definedName name="wrn.uuu" localSheetId="3" hidden="1">{"side1",#N/A,FALSE,"ResRegn.A-kons.";"Side2",#N/A,FALSE,"Bal3112.A-kons."}</definedName>
    <definedName name="wrn.uuu" localSheetId="6" hidden="1">{"side1",#N/A,FALSE,"ResRegn.A-kons.";"Side2",#N/A,FALSE,"Bal3112.A-kons."}</definedName>
    <definedName name="wrn.uuu" localSheetId="7" hidden="1">{"side1",#N/A,FALSE,"ResRegn.A-kons.";"Side2",#N/A,FALSE,"Bal3112.A-kons."}</definedName>
    <definedName name="wrn.uuu" localSheetId="10" hidden="1">{"side1",#N/A,FALSE,"ResRegn.A-kons.";"Side2",#N/A,FALSE,"Bal3112.A-kons."}</definedName>
    <definedName name="wrn.uuu" localSheetId="11" hidden="1">{"side1",#N/A,FALSE,"ResRegn.A-kons.";"Side2",#N/A,FALSE,"Bal3112.A-kons."}</definedName>
    <definedName name="wrn.uuu" localSheetId="5" hidden="1">{"side1",#N/A,FALSE,"ResRegn.A-kons.";"Side2",#N/A,FALSE,"Bal3112.A-kons."}</definedName>
    <definedName name="wrn.uuu" localSheetId="4" hidden="1">{"side1",#N/A,FALSE,"ResRegn.A-kons.";"Side2",#N/A,FALSE,"Bal3112.A-kons."}</definedName>
    <definedName name="wrn.uuu" hidden="1">{"side1",#N/A,FALSE,"ResRegn.A-kons.";"Side2",#N/A,FALSE,"Bal3112.A-kons."}</definedName>
    <definedName name="wrn.VENTAS." localSheetId="3" hidden="1">{"VENTAS1",#N/A,FALSE,"VENTAS";"VENTAS2",#N/A,FALSE,"VENTAS";"VENTAS3",#N/A,FALSE,"VENTAS";"VENTAS4",#N/A,FALSE,"VENTAS";"VENTAS5",#N/A,FALSE,"VENTAS";"VENTAS6",#N/A,FALSE,"VENTAS";"VENTAS7",#N/A,FALSE,"VENTAS";"VENTAS8",#N/A,FALSE,"VENTAS"}</definedName>
    <definedName name="wrn.VENTAS." localSheetId="6" hidden="1">{"VENTAS1",#N/A,FALSE,"VENTAS";"VENTAS2",#N/A,FALSE,"VENTAS";"VENTAS3",#N/A,FALSE,"VENTAS";"VENTAS4",#N/A,FALSE,"VENTAS";"VENTAS5",#N/A,FALSE,"VENTAS";"VENTAS6",#N/A,FALSE,"VENTAS";"VENTAS7",#N/A,FALSE,"VENTAS";"VENTAS8",#N/A,FALSE,"VENTAS"}</definedName>
    <definedName name="wrn.VENTAS." localSheetId="7" hidden="1">{"VENTAS1",#N/A,FALSE,"VENTAS";"VENTAS2",#N/A,FALSE,"VENTAS";"VENTAS3",#N/A,FALSE,"VENTAS";"VENTAS4",#N/A,FALSE,"VENTAS";"VENTAS5",#N/A,FALSE,"VENTAS";"VENTAS6",#N/A,FALSE,"VENTAS";"VENTAS7",#N/A,FALSE,"VENTAS";"VENTAS8",#N/A,FALSE,"VENTAS"}</definedName>
    <definedName name="wrn.VENTAS." localSheetId="10" hidden="1">{"VENTAS1",#N/A,FALSE,"VENTAS";"VENTAS2",#N/A,FALSE,"VENTAS";"VENTAS3",#N/A,FALSE,"VENTAS";"VENTAS4",#N/A,FALSE,"VENTAS";"VENTAS5",#N/A,FALSE,"VENTAS";"VENTAS6",#N/A,FALSE,"VENTAS";"VENTAS7",#N/A,FALSE,"VENTAS";"VENTAS8",#N/A,FALSE,"VENTAS"}</definedName>
    <definedName name="wrn.VENTAS." localSheetId="11" hidden="1">{"VENTAS1",#N/A,FALSE,"VENTAS";"VENTAS2",#N/A,FALSE,"VENTAS";"VENTAS3",#N/A,FALSE,"VENTAS";"VENTAS4",#N/A,FALSE,"VENTAS";"VENTAS5",#N/A,FALSE,"VENTAS";"VENTAS6",#N/A,FALSE,"VENTAS";"VENTAS7",#N/A,FALSE,"VENTAS";"VENTAS8",#N/A,FALSE,"VENTAS"}</definedName>
    <definedName name="wrn.VENTAS." localSheetId="5" hidden="1">{"VENTAS1",#N/A,FALSE,"VENTAS";"VENTAS2",#N/A,FALSE,"VENTAS";"VENTAS3",#N/A,FALSE,"VENTAS";"VENTAS4",#N/A,FALSE,"VENTAS";"VENTAS5",#N/A,FALSE,"VENTAS";"VENTAS6",#N/A,FALSE,"VENTAS";"VENTAS7",#N/A,FALSE,"VENTAS";"VENTAS8",#N/A,FALSE,"VENTAS"}</definedName>
    <definedName name="wrn.VENTAS." localSheetId="4" hidden="1">{"VENTAS1",#N/A,FALSE,"VENTAS";"VENTAS2",#N/A,FALSE,"VENTAS";"VENTAS3",#N/A,FALSE,"VENTAS";"VENTAS4",#N/A,FALSE,"VENTAS";"VENTAS5",#N/A,FALSE,"VENTAS";"VENTAS6",#N/A,FALSE,"VENTAS";"VENTAS7",#N/A,FALSE,"VENTAS";"VENTAS8",#N/A,FALSE,"VENTAS"}</definedName>
    <definedName name="wrn.VENTAS." localSheetId="1" hidden="1">{"VENTAS1",#N/A,FALSE,"VENTAS";"VENTAS2",#N/A,FALSE,"VENTAS";"VENTAS3",#N/A,FALSE,"VENTAS";"VENTAS4",#N/A,FALSE,"VENTAS";"VENTAS5",#N/A,FALSE,"VENTAS";"VENTAS6",#N/A,FALSE,"VENTAS";"VENTAS7",#N/A,FALSE,"VENTAS";"VENTAS8",#N/A,FALSE,"VENTAS"}</definedName>
    <definedName name="wrn.VENTAS." localSheetId="2" hidden="1">{"VENTAS1",#N/A,FALSE,"VENTAS";"VENTAS2",#N/A,FALSE,"VENTAS";"VENTAS3",#N/A,FALSE,"VENTAS";"VENTAS4",#N/A,FALSE,"VENTAS";"VENTAS5",#N/A,FALSE,"VENTAS";"VENTAS6",#N/A,FALSE,"VENTAS";"VENTAS7",#N/A,FALSE,"VENTAS";"VENTAS8",#N/A,FALSE,"VENTAS"}</definedName>
    <definedName name="wrn.VENTAS." hidden="1">{"VENTAS1",#N/A,FALSE,"VENTAS";"VENTAS2",#N/A,FALSE,"VENTAS";"VENTAS3",#N/A,FALSE,"VENTAS";"VENTAS4",#N/A,FALSE,"VENTAS";"VENTAS5",#N/A,FALSE,"VENTAS";"VENTAS6",#N/A,FALSE,"VENTAS";"VENTAS7",#N/A,FALSE,"VENTAS";"VENTAS8",#N/A,FALSE,"VENTAS"}</definedName>
    <definedName name="wrn.ventas.1" localSheetId="3" hidden="1">{"VENTAS1",#N/A,FALSE,"VENTAS";"VENTAS2",#N/A,FALSE,"VENTAS";"VENTAS3",#N/A,FALSE,"VENTAS";"VENTAS4",#N/A,FALSE,"VENTAS";"VENTAS5",#N/A,FALSE,"VENTAS";"VENTAS6",#N/A,FALSE,"VENTAS";"VENTAS7",#N/A,FALSE,"VENTAS";"VENTAS8",#N/A,FALSE,"VENTAS"}</definedName>
    <definedName name="wrn.ventas.1" localSheetId="6" hidden="1">{"VENTAS1",#N/A,FALSE,"VENTAS";"VENTAS2",#N/A,FALSE,"VENTAS";"VENTAS3",#N/A,FALSE,"VENTAS";"VENTAS4",#N/A,FALSE,"VENTAS";"VENTAS5",#N/A,FALSE,"VENTAS";"VENTAS6",#N/A,FALSE,"VENTAS";"VENTAS7",#N/A,FALSE,"VENTAS";"VENTAS8",#N/A,FALSE,"VENTAS"}</definedName>
    <definedName name="wrn.ventas.1" localSheetId="7" hidden="1">{"VENTAS1",#N/A,FALSE,"VENTAS";"VENTAS2",#N/A,FALSE,"VENTAS";"VENTAS3",#N/A,FALSE,"VENTAS";"VENTAS4",#N/A,FALSE,"VENTAS";"VENTAS5",#N/A,FALSE,"VENTAS";"VENTAS6",#N/A,FALSE,"VENTAS";"VENTAS7",#N/A,FALSE,"VENTAS";"VENTAS8",#N/A,FALSE,"VENTAS"}</definedName>
    <definedName name="wrn.ventas.1" localSheetId="10" hidden="1">{"VENTAS1",#N/A,FALSE,"VENTAS";"VENTAS2",#N/A,FALSE,"VENTAS";"VENTAS3",#N/A,FALSE,"VENTAS";"VENTAS4",#N/A,FALSE,"VENTAS";"VENTAS5",#N/A,FALSE,"VENTAS";"VENTAS6",#N/A,FALSE,"VENTAS";"VENTAS7",#N/A,FALSE,"VENTAS";"VENTAS8",#N/A,FALSE,"VENTAS"}</definedName>
    <definedName name="wrn.ventas.1" localSheetId="11" hidden="1">{"VENTAS1",#N/A,FALSE,"VENTAS";"VENTAS2",#N/A,FALSE,"VENTAS";"VENTAS3",#N/A,FALSE,"VENTAS";"VENTAS4",#N/A,FALSE,"VENTAS";"VENTAS5",#N/A,FALSE,"VENTAS";"VENTAS6",#N/A,FALSE,"VENTAS";"VENTAS7",#N/A,FALSE,"VENTAS";"VENTAS8",#N/A,FALSE,"VENTAS"}</definedName>
    <definedName name="wrn.ventas.1" localSheetId="5" hidden="1">{"VENTAS1",#N/A,FALSE,"VENTAS";"VENTAS2",#N/A,FALSE,"VENTAS";"VENTAS3",#N/A,FALSE,"VENTAS";"VENTAS4",#N/A,FALSE,"VENTAS";"VENTAS5",#N/A,FALSE,"VENTAS";"VENTAS6",#N/A,FALSE,"VENTAS";"VENTAS7",#N/A,FALSE,"VENTAS";"VENTAS8",#N/A,FALSE,"VENTAS"}</definedName>
    <definedName name="wrn.ventas.1" localSheetId="4" hidden="1">{"VENTAS1",#N/A,FALSE,"VENTAS";"VENTAS2",#N/A,FALSE,"VENTAS";"VENTAS3",#N/A,FALSE,"VENTAS";"VENTAS4",#N/A,FALSE,"VENTAS";"VENTAS5",#N/A,FALSE,"VENTAS";"VENTAS6",#N/A,FALSE,"VENTAS";"VENTAS7",#N/A,FALSE,"VENTAS";"VENTAS8",#N/A,FALSE,"VENTAS"}</definedName>
    <definedName name="wrn.ventas.1" localSheetId="1" hidden="1">{"VENTAS1",#N/A,FALSE,"VENTAS";"VENTAS2",#N/A,FALSE,"VENTAS";"VENTAS3",#N/A,FALSE,"VENTAS";"VENTAS4",#N/A,FALSE,"VENTAS";"VENTAS5",#N/A,FALSE,"VENTAS";"VENTAS6",#N/A,FALSE,"VENTAS";"VENTAS7",#N/A,FALSE,"VENTAS";"VENTAS8",#N/A,FALSE,"VENTAS"}</definedName>
    <definedName name="wrn.ventas.1" localSheetId="2" hidden="1">{"VENTAS1",#N/A,FALSE,"VENTAS";"VENTAS2",#N/A,FALSE,"VENTAS";"VENTAS3",#N/A,FALSE,"VENTAS";"VENTAS4",#N/A,FALSE,"VENTAS";"VENTAS5",#N/A,FALSE,"VENTAS";"VENTAS6",#N/A,FALSE,"VENTAS";"VENTAS7",#N/A,FALSE,"VENTAS";"VENTAS8",#N/A,FALSE,"VENTAS"}</definedName>
    <definedName name="wrn.ventas.1" hidden="1">{"VENTAS1",#N/A,FALSE,"VENTAS";"VENTAS2",#N/A,FALSE,"VENTAS";"VENTAS3",#N/A,FALSE,"VENTAS";"VENTAS4",#N/A,FALSE,"VENTAS";"VENTAS5",#N/A,FALSE,"VENTAS";"VENTAS6",#N/A,FALSE,"VENTAS";"VENTAS7",#N/A,FALSE,"VENTAS";"VENTAS8",#N/A,FALSE,"VENTAS"}</definedName>
    <definedName name="wrn.Wacc." localSheetId="3" hidden="1">{"Area1",#N/A,FALSE,"OREWACC";"Area2",#N/A,FALSE,"OREWACC"}</definedName>
    <definedName name="wrn.Wacc." localSheetId="6" hidden="1">{"Area1",#N/A,FALSE,"OREWACC";"Area2",#N/A,FALSE,"OREWACC"}</definedName>
    <definedName name="wrn.Wacc." localSheetId="7" hidden="1">{"Area1",#N/A,FALSE,"OREWACC";"Area2",#N/A,FALSE,"OREWACC"}</definedName>
    <definedName name="wrn.Wacc." localSheetId="10" hidden="1">{"Area1",#N/A,FALSE,"OREWACC";"Area2",#N/A,FALSE,"OREWACC"}</definedName>
    <definedName name="wrn.Wacc." localSheetId="11" hidden="1">{"Area1",#N/A,FALSE,"OREWACC";"Area2",#N/A,FALSE,"OREWACC"}</definedName>
    <definedName name="wrn.Wacc." localSheetId="5" hidden="1">{"Area1",#N/A,FALSE,"OREWACC";"Area2",#N/A,FALSE,"OREWACC"}</definedName>
    <definedName name="wrn.Wacc." localSheetId="4" hidden="1">{"Area1",#N/A,FALSE,"OREWACC";"Area2",#N/A,FALSE,"OREWACC"}</definedName>
    <definedName name="wrn.Wacc." hidden="1">{"Area1",#N/A,FALSE,"OREWACC";"Area2",#N/A,FALSE,"OREWACC"}</definedName>
    <definedName name="wrn.Wright." localSheetId="3"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wrn.Wright." localSheetId="6"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wrn.Wright." localSheetId="7"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wrn.Wright." localSheetId="10"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wrn.Wright." localSheetId="11"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wrn.Wright." localSheetId="5"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wrn.Wright." localSheetId="4"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wrn.Wright." hidden="1">{#N/A,#N/A,FALSE,"Documentation";#N/A,#N/A,FALSE,"ROR";#N/A,#N/A,FALSE,"Projected Income";#N/A,#N/A,FALSE,"Historical Income";#N/A,#N/A,FALSE,"Historical BS";#N/A,#N/A,FALSE,"Backlog";#N/A,#N/A,FALSE,"Inventory";#N/A,#N/A,FALSE,"Technology";#N/A,#N/A,FALSE,"Trademarks";#N/A,#N/A,FALSE,"Workforce";#N/A,#N/A,FALSE,"Distribution";#N/A,#N/A,FALSE,"Contracts";#N/A,#N/A,FALSE,"Distribution Lifeing";#N/A,#N/A,FALSE,"Tax Amortization - higher";#N/A,#N/A,FALSE,"Residual Analysis";#N/A,#N/A,FALSE,"Tax Amortization - 15%";#N/A,#N/A,FALSE,"1999 Income Statements"}</definedName>
    <definedName name="wrn.X_Print._.All." localSheetId="3" hidden="1">{#N/A,#N/A,TRUE,"Summary";#N/A,#N/A,TRUE,"Worksheet";#N/A,#N/A,TRUE,"CashFlow"}</definedName>
    <definedName name="wrn.X_Print._.All." localSheetId="6" hidden="1">{#N/A,#N/A,TRUE,"Summary";#N/A,#N/A,TRUE,"Worksheet";#N/A,#N/A,TRUE,"CashFlow"}</definedName>
    <definedName name="wrn.X_Print._.All." localSheetId="7" hidden="1">{#N/A,#N/A,TRUE,"Summary";#N/A,#N/A,TRUE,"Worksheet";#N/A,#N/A,TRUE,"CashFlow"}</definedName>
    <definedName name="wrn.X_Print._.All." localSheetId="10" hidden="1">{#N/A,#N/A,TRUE,"Summary";#N/A,#N/A,TRUE,"Worksheet";#N/A,#N/A,TRUE,"CashFlow"}</definedName>
    <definedName name="wrn.X_Print._.All." localSheetId="11" hidden="1">{#N/A,#N/A,TRUE,"Summary";#N/A,#N/A,TRUE,"Worksheet";#N/A,#N/A,TRUE,"CashFlow"}</definedName>
    <definedName name="wrn.X_Print._.All." localSheetId="5" hidden="1">{#N/A,#N/A,TRUE,"Summary";#N/A,#N/A,TRUE,"Worksheet";#N/A,#N/A,TRUE,"CashFlow"}</definedName>
    <definedName name="wrn.X_Print._.All." localSheetId="4" hidden="1">{#N/A,#N/A,TRUE,"Summary";#N/A,#N/A,TRUE,"Worksheet";#N/A,#N/A,TRUE,"CashFlow"}</definedName>
    <definedName name="wrn.X_Print._.All." hidden="1">{#N/A,#N/A,TRUE,"Summary";#N/A,#N/A,TRUE,"Worksheet";#N/A,#N/A,TRUE,"CashFlow"}</definedName>
    <definedName name="wsewew" localSheetId="3" hidden="1">{#N/A,#N/A,FALSE,"PCOL"}</definedName>
    <definedName name="wsewew" localSheetId="6" hidden="1">{#N/A,#N/A,FALSE,"PCOL"}</definedName>
    <definedName name="wsewew" localSheetId="7" hidden="1">{#N/A,#N/A,FALSE,"PCOL"}</definedName>
    <definedName name="wsewew" localSheetId="10" hidden="1">{#N/A,#N/A,FALSE,"PCOL"}</definedName>
    <definedName name="wsewew" localSheetId="11" hidden="1">{#N/A,#N/A,FALSE,"PCOL"}</definedName>
    <definedName name="wsewew" localSheetId="5" hidden="1">{#N/A,#N/A,FALSE,"PCOL"}</definedName>
    <definedName name="wsewew" localSheetId="4" hidden="1">{#N/A,#N/A,FALSE,"PCOL"}</definedName>
    <definedName name="wsewew" hidden="1">{#N/A,#N/A,FALSE,"PCOL"}</definedName>
    <definedName name="wvu.Print_Todo." localSheetId="3" hidden="1">{TRUE,TRUE,-1.25,-15.5,484.5,276.75,FALSE,TRUE,TRUE,TRUE,0,1,1,300,1,1.96296296296296,1.15384615384615,4,TRUE,TRUE,3,TRUE,1,FALSE,75,"Swvu.Print_Todo.","ACwvu.Print_Todo.",#N/A,FALSE,FALSE,0,0,0,0,2,"","",FALSE,FALSE,TRUE,FALSE,1,#N/A,2,10,"=R1C1:R636C40",FALSE,#N/A,#N/A,FALSE,FALSE,FALSE,9,300,300,FALSE,TRUE,TRUE,TRUE,TRUE}</definedName>
    <definedName name="wvu.Print_Todo." localSheetId="6" hidden="1">{TRUE,TRUE,-1.25,-15.5,484.5,276.75,FALSE,TRUE,TRUE,TRUE,0,1,1,300,1,1.96296296296296,1.15384615384615,4,TRUE,TRUE,3,TRUE,1,FALSE,75,"Swvu.Print_Todo.","ACwvu.Print_Todo.",#N/A,FALSE,FALSE,0,0,0,0,2,"","",FALSE,FALSE,TRUE,FALSE,1,#N/A,2,10,"=R1C1:R636C40",FALSE,#N/A,#N/A,FALSE,FALSE,FALSE,9,300,300,FALSE,TRUE,TRUE,TRUE,TRUE}</definedName>
    <definedName name="wvu.Print_Todo." localSheetId="7" hidden="1">{TRUE,TRUE,-1.25,-15.5,484.5,276.75,FALSE,TRUE,TRUE,TRUE,0,1,1,300,1,1.96296296296296,1.15384615384615,4,TRUE,TRUE,3,TRUE,1,FALSE,75,"Swvu.Print_Todo.","ACwvu.Print_Todo.",#N/A,FALSE,FALSE,0,0,0,0,2,"","",FALSE,FALSE,TRUE,FALSE,1,#N/A,2,10,"=R1C1:R636C40",FALSE,#N/A,#N/A,FALSE,FALSE,FALSE,9,300,300,FALSE,TRUE,TRUE,TRUE,TRUE}</definedName>
    <definedName name="wvu.Print_Todo." localSheetId="10" hidden="1">{TRUE,TRUE,-1.25,-15.5,484.5,276.75,FALSE,TRUE,TRUE,TRUE,0,1,1,300,1,1.96296296296296,1.15384615384615,4,TRUE,TRUE,3,TRUE,1,FALSE,75,"Swvu.Print_Todo.","ACwvu.Print_Todo.",#N/A,FALSE,FALSE,0,0,0,0,2,"","",FALSE,FALSE,TRUE,FALSE,1,#N/A,2,10,"=R1C1:R636C40",FALSE,#N/A,#N/A,FALSE,FALSE,FALSE,9,300,300,FALSE,TRUE,TRUE,TRUE,TRUE}</definedName>
    <definedName name="wvu.Print_Todo." localSheetId="11" hidden="1">{TRUE,TRUE,-1.25,-15.5,484.5,276.75,FALSE,TRUE,TRUE,TRUE,0,1,1,300,1,1.96296296296296,1.15384615384615,4,TRUE,TRUE,3,TRUE,1,FALSE,75,"Swvu.Print_Todo.","ACwvu.Print_Todo.",#N/A,FALSE,FALSE,0,0,0,0,2,"","",FALSE,FALSE,TRUE,FALSE,1,#N/A,2,10,"=R1C1:R636C40",FALSE,#N/A,#N/A,FALSE,FALSE,FALSE,9,300,300,FALSE,TRUE,TRUE,TRUE,TRUE}</definedName>
    <definedName name="wvu.Print_Todo." localSheetId="5" hidden="1">{TRUE,TRUE,-1.25,-15.5,484.5,276.75,FALSE,TRUE,TRUE,TRUE,0,1,1,300,1,1.96296296296296,1.15384615384615,4,TRUE,TRUE,3,TRUE,1,FALSE,75,"Swvu.Print_Todo.","ACwvu.Print_Todo.",#N/A,FALSE,FALSE,0,0,0,0,2,"","",FALSE,FALSE,TRUE,FALSE,1,#N/A,2,10,"=R1C1:R636C40",FALSE,#N/A,#N/A,FALSE,FALSE,FALSE,9,300,300,FALSE,TRUE,TRUE,TRUE,TRUE}</definedName>
    <definedName name="wvu.Print_Todo." localSheetId="4" hidden="1">{TRUE,TRUE,-1.25,-15.5,484.5,276.75,FALSE,TRUE,TRUE,TRUE,0,1,1,300,1,1.96296296296296,1.15384615384615,4,TRUE,TRUE,3,TRUE,1,FALSE,75,"Swvu.Print_Todo.","ACwvu.Print_Todo.",#N/A,FALSE,FALSE,0,0,0,0,2,"","",FALSE,FALSE,TRUE,FALSE,1,#N/A,2,10,"=R1C1:R636C40",FALSE,#N/A,#N/A,FALSE,FALSE,FALSE,9,300,300,FALSE,TRUE,TRUE,TRUE,TRUE}</definedName>
    <definedName name="wvu.Print_Todo." localSheetId="1" hidden="1">{TRUE,TRUE,-1.25,-15.5,484.5,276.75,FALSE,TRUE,TRUE,TRUE,0,1,1,300,1,1.96296296296296,1.15384615384615,4,TRUE,TRUE,3,TRUE,1,FALSE,75,"Swvu.Print_Todo.","ACwvu.Print_Todo.",#N/A,FALSE,FALSE,0,0,0,0,2,"","",FALSE,FALSE,TRUE,FALSE,1,#N/A,2,10,"=R1C1:R636C40",FALSE,#N/A,#N/A,FALSE,FALSE,FALSE,9,300,300,FALSE,TRUE,TRUE,TRUE,TRUE}</definedName>
    <definedName name="wvu.Print_Todo." localSheetId="2" hidden="1">{TRUE,TRUE,-1.25,-15.5,484.5,276.75,FALSE,TRUE,TRUE,TRUE,0,1,1,300,1,1.96296296296296,1.15384615384615,4,TRUE,TRUE,3,TRUE,1,FALSE,75,"Swvu.Print_Todo.","ACwvu.Print_Todo.",#N/A,FALSE,FALSE,0,0,0,0,2,"","",FALSE,FALSE,TRUE,FALSE,1,#N/A,2,10,"=R1C1:R636C40",FALSE,#N/A,#N/A,FALSE,FALSE,FALSE,9,300,300,FALSE,TRUE,TRUE,TRUE,TRUE}</definedName>
    <definedName name="wvu.Print_Todo." hidden="1">{TRUE,TRUE,-1.25,-15.5,484.5,276.75,FALSE,TRUE,TRUE,TRUE,0,1,1,300,1,1.96296296296296,1.15384615384615,4,TRUE,TRUE,3,TRUE,1,FALSE,75,"Swvu.Print_Todo.","ACwvu.Print_Todo.",#N/A,FALSE,FALSE,0,0,0,0,2,"","",FALSE,FALSE,TRUE,FALSE,1,#N/A,2,10,"=R1C1:R636C40",FALSE,#N/A,#N/A,FALSE,FALSE,FALSE,9,300,300,FALSE,TRUE,TRUE,TRUE,TRUE}</definedName>
    <definedName name="wvu.Socios._.95." localSheetId="3"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wvu.Socios._.95." localSheetId="6"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wvu.Socios._.95." localSheetId="7"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wvu.Socios._.95." localSheetId="10"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wvu.Socios._.95." localSheetId="11"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wvu.Socios._.95." localSheetId="5"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wvu.Socios._.95." localSheetId="4"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wvu.Socios._.95." localSheetId="1"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wvu.Socios._.95." localSheetId="2"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wvu.Socios._.95." hidden="1">{TRUE,TRUE,-1.25,-15.5,484.5,276.75,FALSE,TRUE,TRUE,TRUE,0,1,#N/A,1,#N/A,6.625,18.0588235294118,1,FALSE,FALSE,3,TRUE,1,FALSE,100,"Swvu.Socios._.95.","ACwvu.Socios._.95.",#N/A,FALSE,FALSE,0.78740157480315,0.78740157480315,0.984251968503937,0.984251968503937,2,"","&amp;L&amp;F&amp;C&amp;A&amp;R&amp;D",TRUE,FALSE,FALSE,FALSE,1,#N/A,1,1,"=R1C1:R14C15",FALSE,#N/A,"Cwvu.Socios._.95.",FALSE,FALSE,FALSE,9,65532,65532,FALSE,FALSE,TRUE,TRUE,TRUE}</definedName>
    <definedName name="ww" hidden="1">[4]Premissas!#REF!</definedName>
    <definedName name="WWWWWWWWWW" localSheetId="3" hidden="1">{"'gráf jan00'!$A$1:$AK$41"}</definedName>
    <definedName name="WWWWWWWWWW" localSheetId="6" hidden="1">{"'gráf jan00'!$A$1:$AK$41"}</definedName>
    <definedName name="WWWWWWWWWW" localSheetId="7" hidden="1">{"'gráf jan00'!$A$1:$AK$41"}</definedName>
    <definedName name="WWWWWWWWWW" localSheetId="10" hidden="1">{"'gráf jan00'!$A$1:$AK$41"}</definedName>
    <definedName name="WWWWWWWWWW" localSheetId="11" hidden="1">{"'gráf jan00'!$A$1:$AK$41"}</definedName>
    <definedName name="WWWWWWWWWW" localSheetId="5" hidden="1">{"'gráf jan00'!$A$1:$AK$41"}</definedName>
    <definedName name="WWWWWWWWWW" localSheetId="4" hidden="1">{"'gráf jan00'!$A$1:$AK$41"}</definedName>
    <definedName name="WWWWWWWWWW" hidden="1">{"'gráf jan00'!$A$1:$AK$41"}</definedName>
    <definedName name="x" localSheetId="3" hidden="1">{"'Plan1 (2)'!$A$5:$F$63"}</definedName>
    <definedName name="x" localSheetId="6" hidden="1">{"'Plan1 (2)'!$A$5:$F$63"}</definedName>
    <definedName name="x" localSheetId="7" hidden="1">{"'Plan1 (2)'!$A$5:$F$63"}</definedName>
    <definedName name="x" localSheetId="10" hidden="1">{"'Plan1 (2)'!$A$5:$F$63"}</definedName>
    <definedName name="x" localSheetId="11" hidden="1">{"'Plan1 (2)'!$A$5:$F$63"}</definedName>
    <definedName name="x" localSheetId="5" hidden="1">{"'Plan1 (2)'!$A$5:$F$63"}</definedName>
    <definedName name="x" localSheetId="4" hidden="1">{"'Plan1 (2)'!$A$5:$F$63"}</definedName>
    <definedName name="x" hidden="1">{"'Plan1 (2)'!$A$5:$F$63"}</definedName>
    <definedName name="xaaxx" localSheetId="3"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xaaxx" localSheetId="6"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xaaxx" localSheetId="7"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xaaxx" localSheetId="10"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xaaxx" localSheetId="11"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xaaxx" localSheetId="5"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xaaxx" localSheetId="4"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xaaxx"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xcxcx" localSheetId="3" hidden="1">{"'gráf jan00'!$A$1:$AK$41"}</definedName>
    <definedName name="xcxcx" localSheetId="6" hidden="1">{"'gráf jan00'!$A$1:$AK$41"}</definedName>
    <definedName name="xcxcx" localSheetId="7" hidden="1">{"'gráf jan00'!$A$1:$AK$41"}</definedName>
    <definedName name="xcxcx" localSheetId="10" hidden="1">{"'gráf jan00'!$A$1:$AK$41"}</definedName>
    <definedName name="xcxcx" localSheetId="11" hidden="1">{"'gráf jan00'!$A$1:$AK$41"}</definedName>
    <definedName name="xcxcx" localSheetId="5" hidden="1">{"'gráf jan00'!$A$1:$AK$41"}</definedName>
    <definedName name="xcxcx" localSheetId="4" hidden="1">{"'gráf jan00'!$A$1:$AK$41"}</definedName>
    <definedName name="xcxcx" hidden="1">{"'gráf jan00'!$A$1:$AK$41"}</definedName>
    <definedName name="xdet" localSheetId="3"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xdet" localSheetId="6"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xdet" localSheetId="7"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xdet" localSheetId="10"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xdet" localSheetId="11"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xdet" localSheetId="5"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xdet" localSheetId="4"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xdet" hidden="1">{#N/A,#N/A,TRUE,"indice";#N/A,#N/A,TRUE,"indicadores";#N/A,#N/A,TRUE,"comentarios";#N/A,#N/A,TRUE,"Receita";#N/A,#N/A,TRUE,"preço";#N/A,#N/A,TRUE,"Custo Unit Total";#N/A,#N/A,TRUE,"Custo Unit Minerio";#N/A,#N/A,TRUE,"Adm_Aux";#N/A,#N/A,TRUE,"Reaprop";#N/A,#N/A,TRUE,"Custo Unit TU";#N/A,#N/A,TRUE,"Custo Unit Paul";#N/A,#N/A,TRUE,"Custo Unit PM";#N/A,#N/A,TRUE,"Custo Unit TPD";#N/A,#N/A,TRUE,"Custo Unit GR";#N/A,#N/A,TRUE,"Custo Unit FE";#N/A,#N/A,TRUE,"Custo Unit Teus";#N/A,#N/A,TRUE,"Custo Unit CO Ton";#N/A,#N/A,TRUE,"Custo Unit OC";#N/A,#N/A,TRUE,"Margem";#N/A,#N/A,TRUE,"Prog Total";#N/A,#N/A,TRUE,"Prog Tubarão";#N/A,#N/A,TRUE,"Prog Praia mole";#N/A,#N/A,TRUE,"Prog  Paul";#N/A,#N/A,TRUE,"Prog TPD";#N/A,#N/A,TRUE,"Pessoal";#N/A,#N/A,TRUE,"Gastos";#N/A,#N/A,TRUE,"Gasto Área";#N/A,#N/A,TRUE,"Grafico de Gastos";#N/A,#N/A,TRUE,"Inv Corrente";#N/A,#N/A,TRUE,"Inv Capital"}</definedName>
    <definedName name="XDF" localSheetId="3" hidden="1">{"'Quadro'!$A$4:$BG$78"}</definedName>
    <definedName name="XDF" localSheetId="6" hidden="1">{"'Quadro'!$A$4:$BG$78"}</definedName>
    <definedName name="XDF" localSheetId="7" hidden="1">{"'Quadro'!$A$4:$BG$78"}</definedName>
    <definedName name="XDF" localSheetId="10" hidden="1">{"'Quadro'!$A$4:$BG$78"}</definedName>
    <definedName name="XDF" localSheetId="11" hidden="1">{"'Quadro'!$A$4:$BG$78"}</definedName>
    <definedName name="XDF" localSheetId="5" hidden="1">{"'Quadro'!$A$4:$BG$78"}</definedName>
    <definedName name="XDF" localSheetId="4" hidden="1">{"'Quadro'!$A$4:$BG$78"}</definedName>
    <definedName name="XDF" hidden="1">{"'Quadro'!$A$4:$BG$78"}</definedName>
    <definedName name="XREF_COLUMN_1" hidden="1">#REF!</definedName>
    <definedName name="XRefColumnsCount" hidden="1">2</definedName>
    <definedName name="XRefCopy1Row" localSheetId="3" hidden="1">#REF!</definedName>
    <definedName name="XRefCopy1Row" localSheetId="6" hidden="1">#REF!</definedName>
    <definedName name="XRefCopy1Row" localSheetId="7" hidden="1">#REF!</definedName>
    <definedName name="XRefCopy1Row" localSheetId="10" hidden="1">#REF!</definedName>
    <definedName name="XRefCopy1Row" localSheetId="11" hidden="1">#REF!</definedName>
    <definedName name="XRefCopy1Row" hidden="1">#REF!</definedName>
    <definedName name="XRefCopy2" localSheetId="3" hidden="1">'[22]Mutação do PL Trimestral'!#REF!</definedName>
    <definedName name="XRefCopy2" localSheetId="6" hidden="1">'[22]Mutação do PL Trimestral'!#REF!</definedName>
    <definedName name="XRefCopy2" localSheetId="10" hidden="1">'[22]Mutação do PL Trimestral'!#REF!</definedName>
    <definedName name="XRefCopy2" localSheetId="11" hidden="1">'[22]Mutação do PL Trimestral'!#REF!</definedName>
    <definedName name="XRefCopy2" hidden="1">'[22]Mutação do PL Trimestral'!#REF!</definedName>
    <definedName name="XRefCopy2Row" localSheetId="3" hidden="1">#REF!</definedName>
    <definedName name="XRefCopy2Row" localSheetId="6" hidden="1">#REF!</definedName>
    <definedName name="XRefCopy2Row" localSheetId="7" hidden="1">#REF!</definedName>
    <definedName name="XRefCopy2Row" localSheetId="10" hidden="1">#REF!</definedName>
    <definedName name="XRefCopy2Row" localSheetId="11" hidden="1">#REF!</definedName>
    <definedName name="XRefCopy2Row" hidden="1">#REF!</definedName>
    <definedName name="XRefCopy3Row" localSheetId="3" hidden="1">#REF!</definedName>
    <definedName name="XRefCopy3Row" localSheetId="6" hidden="1">#REF!</definedName>
    <definedName name="XRefCopy3Row" localSheetId="7" hidden="1">#REF!</definedName>
    <definedName name="XRefCopy3Row" localSheetId="10" hidden="1">#REF!</definedName>
    <definedName name="XRefCopy3Row" hidden="1">#REF!</definedName>
    <definedName name="XRefCopy5Row" localSheetId="3" hidden="1">#REF!</definedName>
    <definedName name="XRefCopy5Row" localSheetId="7" hidden="1">#REF!</definedName>
    <definedName name="XRefCopy5Row" localSheetId="10" hidden="1">#REF!</definedName>
    <definedName name="XRefCopy5Row" hidden="1">#REF!</definedName>
    <definedName name="XRefCopyRangeCount" hidden="1">3</definedName>
    <definedName name="XRefPaste1" localSheetId="3" hidden="1">#REF!</definedName>
    <definedName name="XRefPaste1" localSheetId="6" hidden="1">#REF!</definedName>
    <definedName name="XRefPaste1" localSheetId="7" hidden="1">#REF!</definedName>
    <definedName name="XRefPaste1" localSheetId="10" hidden="1">#REF!</definedName>
    <definedName name="XRefPaste1" localSheetId="11" hidden="1">#REF!</definedName>
    <definedName name="XRefPaste1" hidden="1">#REF!</definedName>
    <definedName name="XRefPaste1Row" localSheetId="3" hidden="1">#REF!</definedName>
    <definedName name="XRefPaste1Row" localSheetId="6" hidden="1">#REF!</definedName>
    <definedName name="XRefPaste1Row" localSheetId="7" hidden="1">#REF!</definedName>
    <definedName name="XRefPaste1Row" localSheetId="10" hidden="1">#REF!</definedName>
    <definedName name="XRefPaste1Row" hidden="1">#REF!</definedName>
    <definedName name="XRefPaste7Row" localSheetId="3" hidden="1">[23]XREF!#REF!</definedName>
    <definedName name="XRefPaste7Row" localSheetId="6" hidden="1">[23]XREF!#REF!</definedName>
    <definedName name="XRefPaste7Row" localSheetId="7" hidden="1">[23]XREF!#REF!</definedName>
    <definedName name="XRefPaste7Row" localSheetId="10" hidden="1">[23]XREF!#REF!</definedName>
    <definedName name="XRefPaste7Row" hidden="1">[23]XREF!#REF!</definedName>
    <definedName name="XRefPasteRangeCount" hidden="1">7</definedName>
    <definedName name="xx" localSheetId="3" hidden="1">{"'Database'!$A$1:$F$130"}</definedName>
    <definedName name="xx" localSheetId="6" hidden="1">{"'Database'!$A$1:$F$130"}</definedName>
    <definedName name="xx" localSheetId="7" hidden="1">{"'Database'!$A$1:$F$130"}</definedName>
    <definedName name="xx" localSheetId="10" hidden="1">{"'Database'!$A$1:$F$130"}</definedName>
    <definedName name="xx" localSheetId="11" hidden="1">{"'Database'!$A$1:$F$130"}</definedName>
    <definedName name="xx" localSheetId="5" hidden="1">{"'Database'!$A$1:$F$130"}</definedName>
    <definedName name="xx" localSheetId="4" hidden="1">{"'Database'!$A$1:$F$130"}</definedName>
    <definedName name="xx" hidden="1">{"'Database'!$A$1:$F$130"}</definedName>
    <definedName name="xxx" localSheetId="3" hidden="1">{TRUE,TRUE,-1.25,-15.5,484.5,276.75,FALSE,TRUE,TRUE,TRUE,0,1,1,300,1,1.96296296296296,1.15384615384615,4,TRUE,TRUE,3,TRUE,1,FALSE,75,"Swvu.Print_Todo.","ACwvu.Print_Todo.",#N/A,FALSE,FALSE,0,0,0,0,2,"","",FALSE,FALSE,TRUE,FALSE,1,#N/A,2,10,"=R1C1:R636C40",FALSE,#N/A,#N/A,FALSE,FALSE,FALSE,9,300,300,FALSE,TRUE,TRUE,TRUE,TRUE}</definedName>
    <definedName name="xxx" localSheetId="6" hidden="1">{TRUE,TRUE,-1.25,-15.5,484.5,276.75,FALSE,TRUE,TRUE,TRUE,0,1,1,300,1,1.96296296296296,1.15384615384615,4,TRUE,TRUE,3,TRUE,1,FALSE,75,"Swvu.Print_Todo.","ACwvu.Print_Todo.",#N/A,FALSE,FALSE,0,0,0,0,2,"","",FALSE,FALSE,TRUE,FALSE,1,#N/A,2,10,"=R1C1:R636C40",FALSE,#N/A,#N/A,FALSE,FALSE,FALSE,9,300,300,FALSE,TRUE,TRUE,TRUE,TRUE}</definedName>
    <definedName name="xxx" localSheetId="7" hidden="1">{TRUE,TRUE,-1.25,-15.5,484.5,276.75,FALSE,TRUE,TRUE,TRUE,0,1,1,300,1,1.96296296296296,1.15384615384615,4,TRUE,TRUE,3,TRUE,1,FALSE,75,"Swvu.Print_Todo.","ACwvu.Print_Todo.",#N/A,FALSE,FALSE,0,0,0,0,2,"","",FALSE,FALSE,TRUE,FALSE,1,#N/A,2,10,"=R1C1:R636C40",FALSE,#N/A,#N/A,FALSE,FALSE,FALSE,9,300,300,FALSE,TRUE,TRUE,TRUE,TRUE}</definedName>
    <definedName name="xxx" localSheetId="10" hidden="1">{TRUE,TRUE,-1.25,-15.5,484.5,276.75,FALSE,TRUE,TRUE,TRUE,0,1,1,300,1,1.96296296296296,1.15384615384615,4,TRUE,TRUE,3,TRUE,1,FALSE,75,"Swvu.Print_Todo.","ACwvu.Print_Todo.",#N/A,FALSE,FALSE,0,0,0,0,2,"","",FALSE,FALSE,TRUE,FALSE,1,#N/A,2,10,"=R1C1:R636C40",FALSE,#N/A,#N/A,FALSE,FALSE,FALSE,9,300,300,FALSE,TRUE,TRUE,TRUE,TRUE}</definedName>
    <definedName name="xxx" localSheetId="11" hidden="1">{TRUE,TRUE,-1.25,-15.5,484.5,276.75,FALSE,TRUE,TRUE,TRUE,0,1,1,300,1,1.96296296296296,1.15384615384615,4,TRUE,TRUE,3,TRUE,1,FALSE,75,"Swvu.Print_Todo.","ACwvu.Print_Todo.",#N/A,FALSE,FALSE,0,0,0,0,2,"","",FALSE,FALSE,TRUE,FALSE,1,#N/A,2,10,"=R1C1:R636C40",FALSE,#N/A,#N/A,FALSE,FALSE,FALSE,9,300,300,FALSE,TRUE,TRUE,TRUE,TRUE}</definedName>
    <definedName name="xxx" localSheetId="5" hidden="1">{TRUE,TRUE,-1.25,-15.5,484.5,276.75,FALSE,TRUE,TRUE,TRUE,0,1,1,300,1,1.96296296296296,1.15384615384615,4,TRUE,TRUE,3,TRUE,1,FALSE,75,"Swvu.Print_Todo.","ACwvu.Print_Todo.",#N/A,FALSE,FALSE,0,0,0,0,2,"","",FALSE,FALSE,TRUE,FALSE,1,#N/A,2,10,"=R1C1:R636C40",FALSE,#N/A,#N/A,FALSE,FALSE,FALSE,9,300,300,FALSE,TRUE,TRUE,TRUE,TRUE}</definedName>
    <definedName name="xxx" localSheetId="4" hidden="1">{TRUE,TRUE,-1.25,-15.5,484.5,276.75,FALSE,TRUE,TRUE,TRUE,0,1,1,300,1,1.96296296296296,1.15384615384615,4,TRUE,TRUE,3,TRUE,1,FALSE,75,"Swvu.Print_Todo.","ACwvu.Print_Todo.",#N/A,FALSE,FALSE,0,0,0,0,2,"","",FALSE,FALSE,TRUE,FALSE,1,#N/A,2,10,"=R1C1:R636C40",FALSE,#N/A,#N/A,FALSE,FALSE,FALSE,9,300,300,FALSE,TRUE,TRUE,TRUE,TRUE}</definedName>
    <definedName name="xxx" hidden="1">{TRUE,TRUE,-1.25,-15.5,484.5,276.75,FALSE,TRUE,TRUE,TRUE,0,1,1,300,1,1.96296296296296,1.15384615384615,4,TRUE,TRUE,3,TRUE,1,FALSE,75,"Swvu.Print_Todo.","ACwvu.Print_Todo.",#N/A,FALSE,FALSE,0,0,0,0,2,"","",FALSE,FALSE,TRUE,FALSE,1,#N/A,2,10,"=R1C1:R636C40",FALSE,#N/A,#N/A,FALSE,FALSE,FALSE,9,300,300,FALSE,TRUE,TRUE,TRUE,TRUE}</definedName>
    <definedName name="xxxx" localSheetId="3"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xxxx" localSheetId="6"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xxxx" localSheetId="7"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xxxx" localSheetId="10"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xxxx" localSheetId="1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xxxx" localSheetId="5"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xxxx" localSheetId="4"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xxxx" localSheetId="1"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xxxx" localSheetId="2"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xxxx" hidden="1">{"page21",#N/A,FALSE,"TranSideco";"page20",#N/A,FALSE,"Coven.";"page19",#N/A,FALSE,"Comparac.";"page18",#N/A,FALSE,"Comparac.";"page17",#N/A,FALSE,"EvolDotac.";"page16",#N/A,FALSE,"Eco-Fin";"page15",#N/A,FALSE,"Eco-Fin";"page14",#N/A,FALSE,"Inversiones";"page13",#N/A,FALSE,"Inversiones";"page12",#N/A,FALSE,"Eco-Fin";"page11",#N/A,FALSE,"Eco-Fin";"page10",#N/A,FALSE,"Eco-Fin";"page9",#N/A,FALSE,"Eco-Fin";"page8",#N/A,FALSE,"Eco-Fin";"page7",#N/A,FALSE,"Eco-Fin";"page6",#N/A,FALSE,"Eco-Fin";"pageventas4",#N/A,FALSE,"Eco-Fin";"pageventas3",#N/A,FALSE,"Eco-Fin";"page5",#N/A,FALSE,"Eco-Fin";"page4",#N/A,FALSE,"Eco-Fin";"page3",#N/A,FALSE,"Eco-Fin";"page2",#N/A,FALSE,"Eco-Fin";"page1",#N/A,FALSE,"Eco-Fin";"cara1",#N/A,FALSE,"Carátula"}</definedName>
    <definedName name="y" localSheetId="3" hidden="1">{#N/A,#N/A,FALSE,"PCOL"}</definedName>
    <definedName name="y" localSheetId="6" hidden="1">{#N/A,#N/A,FALSE,"PCOL"}</definedName>
    <definedName name="y" localSheetId="7" hidden="1">{#N/A,#N/A,FALSE,"PCOL"}</definedName>
    <definedName name="y" localSheetId="10" hidden="1">{#N/A,#N/A,FALSE,"PCOL"}</definedName>
    <definedName name="y" localSheetId="11" hidden="1">{#N/A,#N/A,FALSE,"PCOL"}</definedName>
    <definedName name="y" localSheetId="5" hidden="1">{#N/A,#N/A,FALSE,"PCOL"}</definedName>
    <definedName name="y" localSheetId="4" hidden="1">{#N/A,#N/A,FALSE,"PCOL"}</definedName>
    <definedName name="y" hidden="1">{#N/A,#N/A,FALSE,"PCOL"}</definedName>
    <definedName name="ygv" localSheetId="3" hidden="1">{#N/A,#N/A,FALSE,"PCOL"}</definedName>
    <definedName name="ygv" localSheetId="6" hidden="1">{#N/A,#N/A,FALSE,"PCOL"}</definedName>
    <definedName name="ygv" localSheetId="7" hidden="1">{#N/A,#N/A,FALSE,"PCOL"}</definedName>
    <definedName name="ygv" localSheetId="10" hidden="1">{#N/A,#N/A,FALSE,"PCOL"}</definedName>
    <definedName name="ygv" localSheetId="11" hidden="1">{#N/A,#N/A,FALSE,"PCOL"}</definedName>
    <definedName name="ygv" localSheetId="5" hidden="1">{#N/A,#N/A,FALSE,"PCOL"}</definedName>
    <definedName name="ygv" localSheetId="4" hidden="1">{#N/A,#N/A,FALSE,"PCOL"}</definedName>
    <definedName name="ygv" hidden="1">{#N/A,#N/A,FALSE,"PCOL"}</definedName>
    <definedName name="YO" localSheetId="3" hidden="1">{"'Quadro'!$A$4:$BG$78"}</definedName>
    <definedName name="YO" localSheetId="6" hidden="1">{"'Quadro'!$A$4:$BG$78"}</definedName>
    <definedName name="YO" localSheetId="7" hidden="1">{"'Quadro'!$A$4:$BG$78"}</definedName>
    <definedName name="YO" localSheetId="10" hidden="1">{"'Quadro'!$A$4:$BG$78"}</definedName>
    <definedName name="YO" localSheetId="11" hidden="1">{"'Quadro'!$A$4:$BG$78"}</definedName>
    <definedName name="YO" localSheetId="5" hidden="1">{"'Quadro'!$A$4:$BG$78"}</definedName>
    <definedName name="YO" localSheetId="4" hidden="1">{"'Quadro'!$A$4:$BG$78"}</definedName>
    <definedName name="YO" hidden="1">{"'Quadro'!$A$4:$BG$78"}</definedName>
    <definedName name="Z_058B9256_CB4D_4C39_834D_D693FEEB491F_.wvu.FilterData" hidden="1">#REF!</definedName>
    <definedName name="Z_05D1A71D_3B7B_4FB7_8DF3_B8E29CA3927A_.wvu.FilterData" localSheetId="3" hidden="1">#REF!</definedName>
    <definedName name="Z_05D1A71D_3B7B_4FB7_8DF3_B8E29CA3927A_.wvu.FilterData" localSheetId="7" hidden="1">#REF!</definedName>
    <definedName name="Z_05D1A71D_3B7B_4FB7_8DF3_B8E29CA3927A_.wvu.FilterData" hidden="1">#REF!</definedName>
    <definedName name="Z_07C2CF55_E6DF_411A_AB00_7E155615468C_.wvu.FilterData" localSheetId="3" hidden="1">#REF!</definedName>
    <definedName name="Z_07C2CF55_E6DF_411A_AB00_7E155615468C_.wvu.FilterData" localSheetId="7" hidden="1">#REF!</definedName>
    <definedName name="Z_07C2CF55_E6DF_411A_AB00_7E155615468C_.wvu.FilterData" hidden="1">#REF!</definedName>
    <definedName name="Z_0B1003A7_69DB_4D5B_966D_57B9E8AF76FB_.wvu.FilterData" localSheetId="3" hidden="1">#REF!</definedName>
    <definedName name="Z_0B1003A7_69DB_4D5B_966D_57B9E8AF76FB_.wvu.FilterData" localSheetId="7" hidden="1">#REF!</definedName>
    <definedName name="Z_0B1003A7_69DB_4D5B_966D_57B9E8AF76FB_.wvu.FilterData" hidden="1">#REF!</definedName>
    <definedName name="Z_0C3EE359_64F6_4049_9576_8EACA8563EA4_.wvu.FilterData" localSheetId="3" hidden="1">#REF!</definedName>
    <definedName name="Z_0C3EE359_64F6_4049_9576_8EACA8563EA4_.wvu.FilterData" localSheetId="7" hidden="1">#REF!</definedName>
    <definedName name="Z_0C3EE359_64F6_4049_9576_8EACA8563EA4_.wvu.FilterData" hidden="1">#REF!</definedName>
    <definedName name="Z_0D05AC4E_32D3_4985_8208_9776E00AC749_.wvu.FilterData" localSheetId="3" hidden="1">#REF!</definedName>
    <definedName name="Z_0D05AC4E_32D3_4985_8208_9776E00AC749_.wvu.FilterData" localSheetId="7" hidden="1">#REF!</definedName>
    <definedName name="Z_0D05AC4E_32D3_4985_8208_9776E00AC749_.wvu.FilterData" hidden="1">#REF!</definedName>
    <definedName name="Z_0DC459DE_F68C_4E33_8D1E_F1663ABAC944_.wvu.FilterData" localSheetId="3" hidden="1">#REF!</definedName>
    <definedName name="Z_0DC459DE_F68C_4E33_8D1E_F1663ABAC944_.wvu.FilterData" localSheetId="7" hidden="1">#REF!</definedName>
    <definedName name="Z_0DC459DE_F68C_4E33_8D1E_F1663ABAC944_.wvu.FilterData" hidden="1">#REF!</definedName>
    <definedName name="Z_0FACBA89_1203_4ED8_87E5_EC1D45B051B7_.wvu.FilterData" localSheetId="3" hidden="1">#REF!</definedName>
    <definedName name="Z_0FACBA89_1203_4ED8_87E5_EC1D45B051B7_.wvu.FilterData" localSheetId="7" hidden="1">#REF!</definedName>
    <definedName name="Z_0FACBA89_1203_4ED8_87E5_EC1D45B051B7_.wvu.FilterData" hidden="1">#REF!</definedName>
    <definedName name="Z_0FEA3536_5108_4591_BECF_C3181387F85F_.wvu.FilterData" localSheetId="3" hidden="1">#REF!</definedName>
    <definedName name="Z_0FEA3536_5108_4591_BECF_C3181387F85F_.wvu.FilterData" localSheetId="7" hidden="1">#REF!</definedName>
    <definedName name="Z_0FEA3536_5108_4591_BECF_C3181387F85F_.wvu.FilterData" hidden="1">#REF!</definedName>
    <definedName name="Z_0FEFDB42_ECBC_4500_A6C8_FEE3D368790B_.wvu.FilterData" localSheetId="3" hidden="1">#REF!</definedName>
    <definedName name="Z_0FEFDB42_ECBC_4500_A6C8_FEE3D368790B_.wvu.FilterData" localSheetId="7" hidden="1">#REF!</definedName>
    <definedName name="Z_0FEFDB42_ECBC_4500_A6C8_FEE3D368790B_.wvu.FilterData" hidden="1">#REF!</definedName>
    <definedName name="Z_110A0651_47C7_408E_B3BF_0C80D30B95FC_.wvu.FilterData" localSheetId="3" hidden="1">#REF!</definedName>
    <definedName name="Z_110A0651_47C7_408E_B3BF_0C80D30B95FC_.wvu.FilterData" localSheetId="7" hidden="1">#REF!</definedName>
    <definedName name="Z_110A0651_47C7_408E_B3BF_0C80D30B95FC_.wvu.FilterData" hidden="1">#REF!</definedName>
    <definedName name="Z_128E64DD_BE84_40EE_A6D2_C9B0EB25CBBD_.wvu.FilterData" localSheetId="3" hidden="1">#REF!</definedName>
    <definedName name="Z_128E64DD_BE84_40EE_A6D2_C9B0EB25CBBD_.wvu.FilterData" localSheetId="7" hidden="1">#REF!</definedName>
    <definedName name="Z_128E64DD_BE84_40EE_A6D2_C9B0EB25CBBD_.wvu.FilterData" hidden="1">#REF!</definedName>
    <definedName name="Z_12F2973E_0018_407B_98AD_CD9C5D1F65FA_.wvu.FilterData" localSheetId="3" hidden="1">#REF!</definedName>
    <definedName name="Z_12F2973E_0018_407B_98AD_CD9C5D1F65FA_.wvu.FilterData" localSheetId="7" hidden="1">#REF!</definedName>
    <definedName name="Z_12F2973E_0018_407B_98AD_CD9C5D1F65FA_.wvu.FilterData" hidden="1">#REF!</definedName>
    <definedName name="Z_137DAE61_8A8D_4219_A4CC_0EEC18A94882_.wvu.FilterData" localSheetId="3" hidden="1">#REF!</definedName>
    <definedName name="Z_137DAE61_8A8D_4219_A4CC_0EEC18A94882_.wvu.FilterData" localSheetId="7" hidden="1">#REF!</definedName>
    <definedName name="Z_137DAE61_8A8D_4219_A4CC_0EEC18A94882_.wvu.FilterData" hidden="1">#REF!</definedName>
    <definedName name="Z_13E06FB5_D019_406D_B278_1B53AD2F6386_.wvu.FilterData" localSheetId="3" hidden="1">#REF!</definedName>
    <definedName name="Z_13E06FB5_D019_406D_B278_1B53AD2F6386_.wvu.FilterData" localSheetId="7" hidden="1">#REF!</definedName>
    <definedName name="Z_13E06FB5_D019_406D_B278_1B53AD2F6386_.wvu.FilterData" hidden="1">#REF!</definedName>
    <definedName name="Z_146D92FF_DFCA_47DC_9CF6_0D07F916365B_.wvu.Cols" localSheetId="3" hidden="1">#REF!,#REF!,#REF!,#REF!</definedName>
    <definedName name="Z_146D92FF_DFCA_47DC_9CF6_0D07F916365B_.wvu.Cols" localSheetId="6" hidden="1">#REF!,#REF!,#REF!,#REF!</definedName>
    <definedName name="Z_146D92FF_DFCA_47DC_9CF6_0D07F916365B_.wvu.Cols" localSheetId="7" hidden="1">#REF!,#REF!,#REF!,#REF!</definedName>
    <definedName name="Z_146D92FF_DFCA_47DC_9CF6_0D07F916365B_.wvu.Cols" localSheetId="10" hidden="1">#REF!,#REF!,#REF!,#REF!</definedName>
    <definedName name="Z_146D92FF_DFCA_47DC_9CF6_0D07F916365B_.wvu.Cols" localSheetId="11" hidden="1">#REF!,#REF!,#REF!,#REF!</definedName>
    <definedName name="Z_146D92FF_DFCA_47DC_9CF6_0D07F916365B_.wvu.Cols" hidden="1">#REF!,#REF!,#REF!,#REF!</definedName>
    <definedName name="Z_146D92FF_DFCA_47DC_9CF6_0D07F916365B_.wvu.FilterData" localSheetId="3" hidden="1">#REF!</definedName>
    <definedName name="Z_146D92FF_DFCA_47DC_9CF6_0D07F916365B_.wvu.FilterData" localSheetId="6" hidden="1">#REF!</definedName>
    <definedName name="Z_146D92FF_DFCA_47DC_9CF6_0D07F916365B_.wvu.FilterData" localSheetId="7" hidden="1">#REF!</definedName>
    <definedName name="Z_146D92FF_DFCA_47DC_9CF6_0D07F916365B_.wvu.FilterData" localSheetId="10" hidden="1">#REF!</definedName>
    <definedName name="Z_146D92FF_DFCA_47DC_9CF6_0D07F916365B_.wvu.FilterData" localSheetId="11" hidden="1">#REF!</definedName>
    <definedName name="Z_146D92FF_DFCA_47DC_9CF6_0D07F916365B_.wvu.FilterData" hidden="1">#REF!</definedName>
    <definedName name="Z_14D375AC_5615_46DE_8EE3_95915B2A8B54_.wvu.FilterData" localSheetId="3" hidden="1">#REF!</definedName>
    <definedName name="Z_14D375AC_5615_46DE_8EE3_95915B2A8B54_.wvu.FilterData" localSheetId="6" hidden="1">#REF!</definedName>
    <definedName name="Z_14D375AC_5615_46DE_8EE3_95915B2A8B54_.wvu.FilterData" localSheetId="7" hidden="1">#REF!</definedName>
    <definedName name="Z_14D375AC_5615_46DE_8EE3_95915B2A8B54_.wvu.FilterData" localSheetId="10" hidden="1">#REF!</definedName>
    <definedName name="Z_14D375AC_5615_46DE_8EE3_95915B2A8B54_.wvu.FilterData" hidden="1">#REF!</definedName>
    <definedName name="Z_15B5DC78_B02F_4AC6_8572_015040A55619_.wvu.FilterData" localSheetId="3" hidden="1">#REF!</definedName>
    <definedName name="Z_15B5DC78_B02F_4AC6_8572_015040A55619_.wvu.FilterData" localSheetId="7" hidden="1">#REF!</definedName>
    <definedName name="Z_15B5DC78_B02F_4AC6_8572_015040A55619_.wvu.FilterData" localSheetId="10" hidden="1">#REF!</definedName>
    <definedName name="Z_15B5DC78_B02F_4AC6_8572_015040A55619_.wvu.FilterData" hidden="1">#REF!</definedName>
    <definedName name="Z_166D6F0F_4D44_46E7_8C36_48FD4848B5AA_.wvu.FilterData" localSheetId="3" hidden="1">#REF!</definedName>
    <definedName name="Z_166D6F0F_4D44_46E7_8C36_48FD4848B5AA_.wvu.FilterData" localSheetId="7" hidden="1">#REF!</definedName>
    <definedName name="Z_166D6F0F_4D44_46E7_8C36_48FD4848B5AA_.wvu.FilterData" hidden="1">#REF!</definedName>
    <definedName name="Z_16FAB836_2255_4D4C_90E4_6B46255F3759_.wvu.FilterData" localSheetId="3" hidden="1">#REF!</definedName>
    <definedName name="Z_16FAB836_2255_4D4C_90E4_6B46255F3759_.wvu.FilterData" localSheetId="7" hidden="1">#REF!</definedName>
    <definedName name="Z_16FAB836_2255_4D4C_90E4_6B46255F3759_.wvu.FilterData" hidden="1">#REF!</definedName>
    <definedName name="Z_198D391C_95CB_49F5_8924_5FEA3CE5C98A_.wvu.FilterData" localSheetId="3" hidden="1">#REF!</definedName>
    <definedName name="Z_198D391C_95CB_49F5_8924_5FEA3CE5C98A_.wvu.FilterData" localSheetId="7" hidden="1">#REF!</definedName>
    <definedName name="Z_198D391C_95CB_49F5_8924_5FEA3CE5C98A_.wvu.FilterData" hidden="1">#REF!</definedName>
    <definedName name="Z_1D9C37CC_3E33_4D4D_B7CD_819F75C83D65_.wvu.FilterData" localSheetId="3" hidden="1">#REF!</definedName>
    <definedName name="Z_1D9C37CC_3E33_4D4D_B7CD_819F75C83D65_.wvu.FilterData" localSheetId="7" hidden="1">#REF!</definedName>
    <definedName name="Z_1D9C37CC_3E33_4D4D_B7CD_819F75C83D65_.wvu.FilterData" hidden="1">#REF!</definedName>
    <definedName name="Z_1DF9838C_880D_4C4E_BFFE_89B5894EC40F_.wvu.FilterData" localSheetId="3" hidden="1">#REF!</definedName>
    <definedName name="Z_1DF9838C_880D_4C4E_BFFE_89B5894EC40F_.wvu.FilterData" localSheetId="7" hidden="1">#REF!</definedName>
    <definedName name="Z_1DF9838C_880D_4C4E_BFFE_89B5894EC40F_.wvu.FilterData" hidden="1">#REF!</definedName>
    <definedName name="Z_1EF42BFC_874B_4E01_B67D_1607E823ACD0_.wvu.FilterData" localSheetId="3" hidden="1">#REF!</definedName>
    <definedName name="Z_1EF42BFC_874B_4E01_B67D_1607E823ACD0_.wvu.FilterData" localSheetId="7" hidden="1">#REF!</definedName>
    <definedName name="Z_1EF42BFC_874B_4E01_B67D_1607E823ACD0_.wvu.FilterData" hidden="1">#REF!</definedName>
    <definedName name="Z_1F94C6E7_3CCA_4599_AF6F_4D6291B2AD93_.wvu.FilterData" localSheetId="3" hidden="1">#REF!</definedName>
    <definedName name="Z_1F94C6E7_3CCA_4599_AF6F_4D6291B2AD93_.wvu.FilterData" localSheetId="7" hidden="1">#REF!</definedName>
    <definedName name="Z_1F94C6E7_3CCA_4599_AF6F_4D6291B2AD93_.wvu.FilterData" hidden="1">#REF!</definedName>
    <definedName name="Z_204280AB_6F29_4C38_B953_40E78BD846F8_.wvu.Cols" localSheetId="3" hidden="1">#REF!,#REF!,#REF!</definedName>
    <definedName name="Z_204280AB_6F29_4C38_B953_40E78BD846F8_.wvu.Cols" localSheetId="6" hidden="1">#REF!,#REF!,#REF!</definedName>
    <definedName name="Z_204280AB_6F29_4C38_B953_40E78BD846F8_.wvu.Cols" localSheetId="7" hidden="1">#REF!,#REF!,#REF!</definedName>
    <definedName name="Z_204280AB_6F29_4C38_B953_40E78BD846F8_.wvu.Cols" localSheetId="10" hidden="1">#REF!,#REF!,#REF!</definedName>
    <definedName name="Z_204280AB_6F29_4C38_B953_40E78BD846F8_.wvu.Cols" localSheetId="11" hidden="1">#REF!,#REF!,#REF!</definedName>
    <definedName name="Z_204280AB_6F29_4C38_B953_40E78BD846F8_.wvu.Cols" hidden="1">#REF!,#REF!,#REF!</definedName>
    <definedName name="Z_204280AB_6F29_4C38_B953_40E78BD846F8_.wvu.FilterData" localSheetId="3" hidden="1">#REF!</definedName>
    <definedName name="Z_204280AB_6F29_4C38_B953_40E78BD846F8_.wvu.FilterData" localSheetId="6" hidden="1">#REF!</definedName>
    <definedName name="Z_204280AB_6F29_4C38_B953_40E78BD846F8_.wvu.FilterData" localSheetId="7" hidden="1">#REF!</definedName>
    <definedName name="Z_204280AB_6F29_4C38_B953_40E78BD846F8_.wvu.FilterData" localSheetId="10" hidden="1">#REF!</definedName>
    <definedName name="Z_204280AB_6F29_4C38_B953_40E78BD846F8_.wvu.FilterData" localSheetId="11" hidden="1">#REF!</definedName>
    <definedName name="Z_204280AB_6F29_4C38_B953_40E78BD846F8_.wvu.FilterData" hidden="1">#REF!</definedName>
    <definedName name="Z_204280AB_6F29_4C38_B953_40E78BD846F8_.wvu.PrintArea" localSheetId="3" hidden="1">#REF!</definedName>
    <definedName name="Z_204280AB_6F29_4C38_B953_40E78BD846F8_.wvu.PrintArea" localSheetId="6" hidden="1">#REF!</definedName>
    <definedName name="Z_204280AB_6F29_4C38_B953_40E78BD846F8_.wvu.PrintArea" localSheetId="7" hidden="1">#REF!</definedName>
    <definedName name="Z_204280AB_6F29_4C38_B953_40E78BD846F8_.wvu.PrintArea" localSheetId="10" hidden="1">#REF!</definedName>
    <definedName name="Z_204280AB_6F29_4C38_B953_40E78BD846F8_.wvu.PrintArea" hidden="1">#REF!</definedName>
    <definedName name="Z_204280AB_6F29_4C38_B953_40E78BD846F8_.wvu.PrintTitles" localSheetId="3" hidden="1">#REF!</definedName>
    <definedName name="Z_204280AB_6F29_4C38_B953_40E78BD846F8_.wvu.PrintTitles" localSheetId="7" hidden="1">#REF!</definedName>
    <definedName name="Z_204280AB_6F29_4C38_B953_40E78BD846F8_.wvu.PrintTitles" localSheetId="10" hidden="1">#REF!</definedName>
    <definedName name="Z_204280AB_6F29_4C38_B953_40E78BD846F8_.wvu.PrintTitles" hidden="1">#REF!</definedName>
    <definedName name="Z_20A9AA17_0DEB_4190_8DAD_FC60D0D33A52_.wvu.FilterData" localSheetId="3" hidden="1">#REF!</definedName>
    <definedName name="Z_20A9AA17_0DEB_4190_8DAD_FC60D0D33A52_.wvu.FilterData" localSheetId="7" hidden="1">#REF!</definedName>
    <definedName name="Z_20A9AA17_0DEB_4190_8DAD_FC60D0D33A52_.wvu.FilterData" hidden="1">#REF!</definedName>
    <definedName name="Z_2103F656_ECB2_4F99_BE9B_56F4D7A5CEE2_.wvu.FilterData" localSheetId="3" hidden="1">#REF!</definedName>
    <definedName name="Z_2103F656_ECB2_4F99_BE9B_56F4D7A5CEE2_.wvu.FilterData" localSheetId="7" hidden="1">#REF!</definedName>
    <definedName name="Z_2103F656_ECB2_4F99_BE9B_56F4D7A5CEE2_.wvu.FilterData" hidden="1">#REF!</definedName>
    <definedName name="Z_2158A2BC_8DB5_455D_AFDE_914B22949288_.wvu.FilterData" localSheetId="3" hidden="1">#REF!</definedName>
    <definedName name="Z_2158A2BC_8DB5_455D_AFDE_914B22949288_.wvu.FilterData" localSheetId="7" hidden="1">#REF!</definedName>
    <definedName name="Z_2158A2BC_8DB5_455D_AFDE_914B22949288_.wvu.FilterData" hidden="1">#REF!</definedName>
    <definedName name="Z_21A967FF_561E_495F_AEB9_4DD3BEDA53BC_.wvu.FilterData" localSheetId="3" hidden="1">#REF!</definedName>
    <definedName name="Z_21A967FF_561E_495F_AEB9_4DD3BEDA53BC_.wvu.FilterData" localSheetId="7" hidden="1">#REF!</definedName>
    <definedName name="Z_21A967FF_561E_495F_AEB9_4DD3BEDA53BC_.wvu.FilterData" hidden="1">#REF!</definedName>
    <definedName name="Z_227E7522_DC52_4EA7_A11A_0741FF23CC42_.wvu.FilterData" localSheetId="3" hidden="1">#REF!</definedName>
    <definedName name="Z_227E7522_DC52_4EA7_A11A_0741FF23CC42_.wvu.FilterData" localSheetId="7" hidden="1">#REF!</definedName>
    <definedName name="Z_227E7522_DC52_4EA7_A11A_0741FF23CC42_.wvu.FilterData" hidden="1">#REF!</definedName>
    <definedName name="Z_23BA0C23_280B_4568_A53C_1C6D2E85772A_.wvu.FilterData" localSheetId="3" hidden="1">#REF!</definedName>
    <definedName name="Z_23BA0C23_280B_4568_A53C_1C6D2E85772A_.wvu.FilterData" localSheetId="7" hidden="1">#REF!</definedName>
    <definedName name="Z_23BA0C23_280B_4568_A53C_1C6D2E85772A_.wvu.FilterData" hidden="1">#REF!</definedName>
    <definedName name="Z_244346C6_3866_4160_9E2E_C77913F25398_.wvu.FilterData" localSheetId="3" hidden="1">#REF!</definedName>
    <definedName name="Z_244346C6_3866_4160_9E2E_C77913F25398_.wvu.FilterData" localSheetId="7" hidden="1">#REF!</definedName>
    <definedName name="Z_244346C6_3866_4160_9E2E_C77913F25398_.wvu.FilterData" hidden="1">#REF!</definedName>
    <definedName name="Z_25117F67_F0EE_43EF_8FF9_79F533CE10B0_.wvu.FilterData" localSheetId="3" hidden="1">#REF!</definedName>
    <definedName name="Z_25117F67_F0EE_43EF_8FF9_79F533CE10B0_.wvu.FilterData" localSheetId="7" hidden="1">#REF!</definedName>
    <definedName name="Z_25117F67_F0EE_43EF_8FF9_79F533CE10B0_.wvu.FilterData" hidden="1">#REF!</definedName>
    <definedName name="Z_259E2DDE_5459_4510_B7A2_66F49964C56E_.wvu.FilterData" localSheetId="3" hidden="1">#REF!</definedName>
    <definedName name="Z_259E2DDE_5459_4510_B7A2_66F49964C56E_.wvu.FilterData" localSheetId="7" hidden="1">#REF!</definedName>
    <definedName name="Z_259E2DDE_5459_4510_B7A2_66F49964C56E_.wvu.FilterData" hidden="1">#REF!</definedName>
    <definedName name="Z_25C7DFCF_BE54_4A41_B957_DE39B9B2A5B5_.wvu.FilterData" localSheetId="3" hidden="1">#REF!</definedName>
    <definedName name="Z_25C7DFCF_BE54_4A41_B957_DE39B9B2A5B5_.wvu.FilterData" localSheetId="7" hidden="1">#REF!</definedName>
    <definedName name="Z_25C7DFCF_BE54_4A41_B957_DE39B9B2A5B5_.wvu.FilterData" hidden="1">#REF!</definedName>
    <definedName name="Z_272E0E4D_901D_11D7_B59C_0050DAB35C7B_.wvu.FilterData" localSheetId="3" hidden="1">#REF!</definedName>
    <definedName name="Z_272E0E4D_901D_11D7_B59C_0050DAB35C7B_.wvu.FilterData" localSheetId="7" hidden="1">#REF!</definedName>
    <definedName name="Z_272E0E4D_901D_11D7_B59C_0050DAB35C7B_.wvu.FilterData" hidden="1">#REF!</definedName>
    <definedName name="Z_27D9353E_5A5F_49BF_8724_FA312A4073FF_.wvu.FilterData" localSheetId="3" hidden="1">#REF!</definedName>
    <definedName name="Z_27D9353E_5A5F_49BF_8724_FA312A4073FF_.wvu.FilterData" localSheetId="7" hidden="1">#REF!</definedName>
    <definedName name="Z_27D9353E_5A5F_49BF_8724_FA312A4073FF_.wvu.FilterData" hidden="1">#REF!</definedName>
    <definedName name="Z_299BE965_B904_49FA_A79D_B9538F94936F_.wvu.FilterData" localSheetId="3" hidden="1">#REF!</definedName>
    <definedName name="Z_299BE965_B904_49FA_A79D_B9538F94936F_.wvu.FilterData" localSheetId="7" hidden="1">#REF!</definedName>
    <definedName name="Z_299BE965_B904_49FA_A79D_B9538F94936F_.wvu.FilterData" hidden="1">#REF!</definedName>
    <definedName name="Z_29D37CE9_76D1_4D09_99A0_55ABA6929929_.wvu.FilterData" localSheetId="3" hidden="1">#REF!</definedName>
    <definedName name="Z_29D37CE9_76D1_4D09_99A0_55ABA6929929_.wvu.FilterData" localSheetId="7" hidden="1">#REF!</definedName>
    <definedName name="Z_29D37CE9_76D1_4D09_99A0_55ABA6929929_.wvu.FilterData" hidden="1">#REF!</definedName>
    <definedName name="Z_2C05BC27_731C_41F4_980F_CD81E4A7A662_.wvu.FilterData" localSheetId="3" hidden="1">#REF!</definedName>
    <definedName name="Z_2C05BC27_731C_41F4_980F_CD81E4A7A662_.wvu.FilterData" localSheetId="7" hidden="1">#REF!</definedName>
    <definedName name="Z_2C05BC27_731C_41F4_980F_CD81E4A7A662_.wvu.FilterData" hidden="1">#REF!</definedName>
    <definedName name="Z_2C0BDCBF_705B_4E5A_9659_05D99EC56641_.wvu.FilterData" localSheetId="3" hidden="1">#REF!</definedName>
    <definedName name="Z_2C0BDCBF_705B_4E5A_9659_05D99EC56641_.wvu.FilterData" localSheetId="7" hidden="1">#REF!</definedName>
    <definedName name="Z_2C0BDCBF_705B_4E5A_9659_05D99EC56641_.wvu.FilterData" hidden="1">#REF!</definedName>
    <definedName name="Z_2CD580B5_D99D_45ED_AC1E_45F8CBBBB9F1_.wvu.FilterData" localSheetId="3" hidden="1">#REF!</definedName>
    <definedName name="Z_2CD580B5_D99D_45ED_AC1E_45F8CBBBB9F1_.wvu.FilterData" localSheetId="7" hidden="1">#REF!</definedName>
    <definedName name="Z_2CD580B5_D99D_45ED_AC1E_45F8CBBBB9F1_.wvu.FilterData" hidden="1">#REF!</definedName>
    <definedName name="Z_2D98D706_A306_4353_8B3D_DA92F9EAEC9A_.wvu.FilterData" localSheetId="3" hidden="1">#REF!</definedName>
    <definedName name="Z_2D98D706_A306_4353_8B3D_DA92F9EAEC9A_.wvu.FilterData" localSheetId="7" hidden="1">#REF!</definedName>
    <definedName name="Z_2D98D706_A306_4353_8B3D_DA92F9EAEC9A_.wvu.FilterData" hidden="1">#REF!</definedName>
    <definedName name="Z_2F8736FC_F07E_49E8_9C13_8E0A0F5EFE5F_.wvu.FilterData" localSheetId="3" hidden="1">#REF!</definedName>
    <definedName name="Z_2F8736FC_F07E_49E8_9C13_8E0A0F5EFE5F_.wvu.FilterData" localSheetId="7" hidden="1">#REF!</definedName>
    <definedName name="Z_2F8736FC_F07E_49E8_9C13_8E0A0F5EFE5F_.wvu.FilterData" hidden="1">#REF!</definedName>
    <definedName name="Z_304C2F7A_D3A6_4DBA_A568_C3E56D7C6E2F_.wvu.FilterData" localSheetId="3" hidden="1">#REF!</definedName>
    <definedName name="Z_304C2F7A_D3A6_4DBA_A568_C3E56D7C6E2F_.wvu.FilterData" localSheetId="7" hidden="1">#REF!</definedName>
    <definedName name="Z_304C2F7A_D3A6_4DBA_A568_C3E56D7C6E2F_.wvu.FilterData" hidden="1">#REF!</definedName>
    <definedName name="Z_30E0ACE8_B29A_44E9_B542_E8C1CA3FD802_.wvu.FilterData" localSheetId="3" hidden="1">#REF!</definedName>
    <definedName name="Z_30E0ACE8_B29A_44E9_B542_E8C1CA3FD802_.wvu.FilterData" localSheetId="7" hidden="1">#REF!</definedName>
    <definedName name="Z_30E0ACE8_B29A_44E9_B542_E8C1CA3FD802_.wvu.FilterData" hidden="1">#REF!</definedName>
    <definedName name="Z_31A27EA2_D574_43B8_A671_7419A12151C9_.wvu.FilterData" localSheetId="3" hidden="1">#REF!</definedName>
    <definedName name="Z_31A27EA2_D574_43B8_A671_7419A12151C9_.wvu.FilterData" localSheetId="7" hidden="1">#REF!</definedName>
    <definedName name="Z_31A27EA2_D574_43B8_A671_7419A12151C9_.wvu.FilterData" hidden="1">#REF!</definedName>
    <definedName name="Z_32D1B352_62AB_4105_8DFC_EAA2DF743365_.wvu.FilterData" localSheetId="3" hidden="1">#REF!</definedName>
    <definedName name="Z_32D1B352_62AB_4105_8DFC_EAA2DF743365_.wvu.FilterData" localSheetId="7" hidden="1">#REF!</definedName>
    <definedName name="Z_32D1B352_62AB_4105_8DFC_EAA2DF743365_.wvu.FilterData" hidden="1">#REF!</definedName>
    <definedName name="Z_330DF436_5BED_40AF_AC51_73D268BD9DF4_.wvu.FilterData" localSheetId="3" hidden="1">#REF!</definedName>
    <definedName name="Z_330DF436_5BED_40AF_AC51_73D268BD9DF4_.wvu.FilterData" localSheetId="7" hidden="1">#REF!</definedName>
    <definedName name="Z_330DF436_5BED_40AF_AC51_73D268BD9DF4_.wvu.FilterData" hidden="1">#REF!</definedName>
    <definedName name="Z_33B8EF57_2FB1_4600_9590_B0A2F2FE409B_.wvu.FilterData" localSheetId="3" hidden="1">#REF!</definedName>
    <definedName name="Z_33B8EF57_2FB1_4600_9590_B0A2F2FE409B_.wvu.FilterData" localSheetId="7" hidden="1">#REF!</definedName>
    <definedName name="Z_33B8EF57_2FB1_4600_9590_B0A2F2FE409B_.wvu.FilterData" hidden="1">#REF!</definedName>
    <definedName name="Z_3404588C_6CE7_4C97_A62C_D19D9EE290D3_.wvu.FilterData" localSheetId="3" hidden="1">#REF!</definedName>
    <definedName name="Z_3404588C_6CE7_4C97_A62C_D19D9EE290D3_.wvu.FilterData" localSheetId="7" hidden="1">#REF!</definedName>
    <definedName name="Z_3404588C_6CE7_4C97_A62C_D19D9EE290D3_.wvu.FilterData" hidden="1">#REF!</definedName>
    <definedName name="Z_34E71878_8D1A_4343_91A1_3FE085136D2B_.wvu.FilterData" localSheetId="3" hidden="1">#REF!</definedName>
    <definedName name="Z_34E71878_8D1A_4343_91A1_3FE085136D2B_.wvu.FilterData" localSheetId="7" hidden="1">#REF!</definedName>
    <definedName name="Z_34E71878_8D1A_4343_91A1_3FE085136D2B_.wvu.FilterData" hidden="1">#REF!</definedName>
    <definedName name="Z_37611AA0_E86A_42C8_8705_108B25E060A1_.wvu.FilterData" localSheetId="3" hidden="1">#REF!</definedName>
    <definedName name="Z_37611AA0_E86A_42C8_8705_108B25E060A1_.wvu.FilterData" localSheetId="7" hidden="1">#REF!</definedName>
    <definedName name="Z_37611AA0_E86A_42C8_8705_108B25E060A1_.wvu.FilterData" hidden="1">#REF!</definedName>
    <definedName name="Z_38FE6CED_4C19_4332_9788_ACC902B20A46_.wvu.FilterData" localSheetId="3" hidden="1">#REF!</definedName>
    <definedName name="Z_38FE6CED_4C19_4332_9788_ACC902B20A46_.wvu.FilterData" localSheetId="7" hidden="1">#REF!</definedName>
    <definedName name="Z_38FE6CED_4C19_4332_9788_ACC902B20A46_.wvu.FilterData" hidden="1">#REF!</definedName>
    <definedName name="Z_394E75CB_4F7F_4C88_A08F_29E48E587341_.wvu.FilterData" localSheetId="3" hidden="1">#REF!</definedName>
    <definedName name="Z_394E75CB_4F7F_4C88_A08F_29E48E587341_.wvu.FilterData" localSheetId="7" hidden="1">#REF!</definedName>
    <definedName name="Z_394E75CB_4F7F_4C88_A08F_29E48E587341_.wvu.FilterData" hidden="1">#REF!</definedName>
    <definedName name="Z_3C200595_20A3_4A0C_B071_705F4AD5DAD3_.wvu.FilterData" localSheetId="3" hidden="1">#REF!</definedName>
    <definedName name="Z_3C200595_20A3_4A0C_B071_705F4AD5DAD3_.wvu.FilterData" localSheetId="7" hidden="1">#REF!</definedName>
    <definedName name="Z_3C200595_20A3_4A0C_B071_705F4AD5DAD3_.wvu.FilterData" hidden="1">#REF!</definedName>
    <definedName name="Z_3E93FF4A_0B7F_475C_A63C_54FBDB9DB4C5_.wvu.FilterData" localSheetId="3" hidden="1">#REF!</definedName>
    <definedName name="Z_3E93FF4A_0B7F_475C_A63C_54FBDB9DB4C5_.wvu.FilterData" localSheetId="7" hidden="1">#REF!</definedName>
    <definedName name="Z_3E93FF4A_0B7F_475C_A63C_54FBDB9DB4C5_.wvu.FilterData" hidden="1">#REF!</definedName>
    <definedName name="Z_3FF05DC4_CA9E_470D_A193_91785ACE00EF_.wvu.FilterData" localSheetId="3" hidden="1">#REF!</definedName>
    <definedName name="Z_3FF05DC4_CA9E_470D_A193_91785ACE00EF_.wvu.FilterData" localSheetId="7" hidden="1">#REF!</definedName>
    <definedName name="Z_3FF05DC4_CA9E_470D_A193_91785ACE00EF_.wvu.FilterData" hidden="1">#REF!</definedName>
    <definedName name="Z_43791B95_57D7_42F4_8815_D1B7E488543E_.wvu.FilterData" localSheetId="3" hidden="1">#REF!</definedName>
    <definedName name="Z_43791B95_57D7_42F4_8815_D1B7E488543E_.wvu.FilterData" localSheetId="7" hidden="1">#REF!</definedName>
    <definedName name="Z_43791B95_57D7_42F4_8815_D1B7E488543E_.wvu.FilterData" hidden="1">#REF!</definedName>
    <definedName name="Z_445AA90F_6D9B_40F5_8E1D_CE1EF57CF450_.wvu.FilterData" localSheetId="3" hidden="1">#REF!</definedName>
    <definedName name="Z_445AA90F_6D9B_40F5_8E1D_CE1EF57CF450_.wvu.FilterData" localSheetId="7" hidden="1">#REF!</definedName>
    <definedName name="Z_445AA90F_6D9B_40F5_8E1D_CE1EF57CF450_.wvu.FilterData" hidden="1">#REF!</definedName>
    <definedName name="Z_454E0C40_F84F_42A3_A371_6F23C1F38595_.wvu.FilterData" localSheetId="3" hidden="1">#REF!</definedName>
    <definedName name="Z_454E0C40_F84F_42A3_A371_6F23C1F38595_.wvu.FilterData" localSheetId="7" hidden="1">#REF!</definedName>
    <definedName name="Z_454E0C40_F84F_42A3_A371_6F23C1F38595_.wvu.FilterData" hidden="1">#REF!</definedName>
    <definedName name="Z_4608FCB3_3552_4D58_B6CE_B8F34D78221E_.wvu.FilterData" localSheetId="3" hidden="1">#REF!</definedName>
    <definedName name="Z_4608FCB3_3552_4D58_B6CE_B8F34D78221E_.wvu.FilterData" localSheetId="7" hidden="1">#REF!</definedName>
    <definedName name="Z_4608FCB3_3552_4D58_B6CE_B8F34D78221E_.wvu.FilterData" hidden="1">#REF!</definedName>
    <definedName name="Z_46E47F7C_9185_4E39_BED5_B4A69FF64CC1_.wvu.FilterData" localSheetId="3" hidden="1">#REF!</definedName>
    <definedName name="Z_46E47F7C_9185_4E39_BED5_B4A69FF64CC1_.wvu.FilterData" localSheetId="7" hidden="1">#REF!</definedName>
    <definedName name="Z_46E47F7C_9185_4E39_BED5_B4A69FF64CC1_.wvu.FilterData" hidden="1">#REF!</definedName>
    <definedName name="Z_48202D5D_77CB_41DE_8C59_9325C98D7C97_.wvu.FilterData" localSheetId="3" hidden="1">#REF!</definedName>
    <definedName name="Z_48202D5D_77CB_41DE_8C59_9325C98D7C97_.wvu.FilterData" localSheetId="7" hidden="1">#REF!</definedName>
    <definedName name="Z_48202D5D_77CB_41DE_8C59_9325C98D7C97_.wvu.FilterData" hidden="1">#REF!</definedName>
    <definedName name="Z_48824DFE_B714_4D0B_9E95_F01C5BAD5D1F_.wvu.FilterData" localSheetId="3" hidden="1">#REF!</definedName>
    <definedName name="Z_48824DFE_B714_4D0B_9E95_F01C5BAD5D1F_.wvu.FilterData" localSheetId="7" hidden="1">#REF!</definedName>
    <definedName name="Z_48824DFE_B714_4D0B_9E95_F01C5BAD5D1F_.wvu.FilterData" hidden="1">#REF!</definedName>
    <definedName name="Z_4C45D885_33EE_4DA9_BF96_6B10CFBA5596_.wvu.FilterData" localSheetId="3" hidden="1">#REF!</definedName>
    <definedName name="Z_4C45D885_33EE_4DA9_BF96_6B10CFBA5596_.wvu.FilterData" localSheetId="7" hidden="1">#REF!</definedName>
    <definedName name="Z_4C45D885_33EE_4DA9_BF96_6B10CFBA5596_.wvu.FilterData" hidden="1">#REF!</definedName>
    <definedName name="Z_4D344757_9064_4D2F_A3A5_69132D23B7B9_.wvu.FilterData" localSheetId="3" hidden="1">#REF!</definedName>
    <definedName name="Z_4D344757_9064_4D2F_A3A5_69132D23B7B9_.wvu.FilterData" localSheetId="7" hidden="1">#REF!</definedName>
    <definedName name="Z_4D344757_9064_4D2F_A3A5_69132D23B7B9_.wvu.FilterData" hidden="1">#REF!</definedName>
    <definedName name="Z_4E773EE1_0A5B_43A9_9C28_FFB0A27D19C3_.wvu.FilterData" localSheetId="3" hidden="1">#REF!</definedName>
    <definedName name="Z_4E773EE1_0A5B_43A9_9C28_FFB0A27D19C3_.wvu.FilterData" localSheetId="7" hidden="1">#REF!</definedName>
    <definedName name="Z_4E773EE1_0A5B_43A9_9C28_FFB0A27D19C3_.wvu.FilterData" hidden="1">#REF!</definedName>
    <definedName name="Z_5122F04C_91B2_4031_BAE2_43203D520992_.wvu.FilterData" localSheetId="3" hidden="1">#REF!</definedName>
    <definedName name="Z_5122F04C_91B2_4031_BAE2_43203D520992_.wvu.FilterData" localSheetId="7" hidden="1">#REF!</definedName>
    <definedName name="Z_5122F04C_91B2_4031_BAE2_43203D520992_.wvu.FilterData" hidden="1">#REF!</definedName>
    <definedName name="Z_52B8D0B0_5872_4367_8D38_9AA5A4B975B3_.wvu.FilterData" localSheetId="3" hidden="1">#REF!</definedName>
    <definedName name="Z_52B8D0B0_5872_4367_8D38_9AA5A4B975B3_.wvu.FilterData" localSheetId="7" hidden="1">#REF!</definedName>
    <definedName name="Z_52B8D0B0_5872_4367_8D38_9AA5A4B975B3_.wvu.FilterData" hidden="1">#REF!</definedName>
    <definedName name="Z_552B9204_1C85_45BC_B148_AF3E206BDAA2_.wvu.FilterData" localSheetId="3" hidden="1">#REF!</definedName>
    <definedName name="Z_552B9204_1C85_45BC_B148_AF3E206BDAA2_.wvu.FilterData" localSheetId="7" hidden="1">#REF!</definedName>
    <definedName name="Z_552B9204_1C85_45BC_B148_AF3E206BDAA2_.wvu.FilterData" hidden="1">#REF!</definedName>
    <definedName name="Z_566671FC_5910_47FD_B961_1065A17D262D_.wvu.FilterData" localSheetId="3" hidden="1">#REF!</definedName>
    <definedName name="Z_566671FC_5910_47FD_B961_1065A17D262D_.wvu.FilterData" localSheetId="7" hidden="1">#REF!</definedName>
    <definedName name="Z_566671FC_5910_47FD_B961_1065A17D262D_.wvu.FilterData" hidden="1">#REF!</definedName>
    <definedName name="Z_569D17FA_30FE_42CA_8D65_E126C1C01EC2_.wvu.FilterData" localSheetId="3" hidden="1">#REF!</definedName>
    <definedName name="Z_569D17FA_30FE_42CA_8D65_E126C1C01EC2_.wvu.FilterData" localSheetId="7" hidden="1">#REF!</definedName>
    <definedName name="Z_569D17FA_30FE_42CA_8D65_E126C1C01EC2_.wvu.FilterData" hidden="1">#REF!</definedName>
    <definedName name="Z_573E904E_5C2F_4CA2_AFCF_918B916322E4_.wvu.FilterData" localSheetId="3" hidden="1">#REF!</definedName>
    <definedName name="Z_573E904E_5C2F_4CA2_AFCF_918B916322E4_.wvu.FilterData" localSheetId="7" hidden="1">#REF!</definedName>
    <definedName name="Z_573E904E_5C2F_4CA2_AFCF_918B916322E4_.wvu.FilterData" hidden="1">#REF!</definedName>
    <definedName name="Z_58DA6172_DC47_4A5F_B420_207BB6987764_.wvu.FilterData" localSheetId="3" hidden="1">#REF!</definedName>
    <definedName name="Z_58DA6172_DC47_4A5F_B420_207BB6987764_.wvu.FilterData" localSheetId="7" hidden="1">#REF!</definedName>
    <definedName name="Z_58DA6172_DC47_4A5F_B420_207BB6987764_.wvu.FilterData" hidden="1">#REF!</definedName>
    <definedName name="Z_58FCB891_F6F4_46F2_BF6B_861E585C9231_.wvu.FilterData" localSheetId="3" hidden="1">#REF!</definedName>
    <definedName name="Z_58FCB891_F6F4_46F2_BF6B_861E585C9231_.wvu.FilterData" localSheetId="7" hidden="1">#REF!</definedName>
    <definedName name="Z_58FCB891_F6F4_46F2_BF6B_861E585C9231_.wvu.FilterData" hidden="1">#REF!</definedName>
    <definedName name="Z_59A87EBA_E018_40E8_A580_AB2176E95D7E_.wvu.FilterData" localSheetId="3" hidden="1">#REF!</definedName>
    <definedName name="Z_59A87EBA_E018_40E8_A580_AB2176E95D7E_.wvu.FilterData" localSheetId="7" hidden="1">#REF!</definedName>
    <definedName name="Z_59A87EBA_E018_40E8_A580_AB2176E95D7E_.wvu.FilterData" hidden="1">#REF!</definedName>
    <definedName name="Z_5A3E740D_87C0_4F85_AB6D_B402AD860D04_.wvu.FilterData" localSheetId="3" hidden="1">#REF!</definedName>
    <definedName name="Z_5A3E740D_87C0_4F85_AB6D_B402AD860D04_.wvu.FilterData" localSheetId="7" hidden="1">#REF!</definedName>
    <definedName name="Z_5A3E740D_87C0_4F85_AB6D_B402AD860D04_.wvu.FilterData" hidden="1">#REF!</definedName>
    <definedName name="Z_5B42E6B5_40AA_4D3F_B932_EF1583491CDE_.wvu.FilterData" localSheetId="3" hidden="1">#REF!</definedName>
    <definedName name="Z_5B42E6B5_40AA_4D3F_B932_EF1583491CDE_.wvu.FilterData" localSheetId="7" hidden="1">#REF!</definedName>
    <definedName name="Z_5B42E6B5_40AA_4D3F_B932_EF1583491CDE_.wvu.FilterData" hidden="1">#REF!</definedName>
    <definedName name="Z_5B7B4951_7310_4C66_B906_4D046076272E_.wvu.FilterData" localSheetId="3" hidden="1">#REF!</definedName>
    <definedName name="Z_5B7B4951_7310_4C66_B906_4D046076272E_.wvu.FilterData" localSheetId="7" hidden="1">#REF!</definedName>
    <definedName name="Z_5B7B4951_7310_4C66_B906_4D046076272E_.wvu.FilterData" hidden="1">#REF!</definedName>
    <definedName name="Z_5D41F4B9_83DF_4509_9C07_453BA5A62846_.wvu.FilterData" localSheetId="3" hidden="1">#REF!</definedName>
    <definedName name="Z_5D41F4B9_83DF_4509_9C07_453BA5A62846_.wvu.FilterData" localSheetId="7" hidden="1">#REF!</definedName>
    <definedName name="Z_5D41F4B9_83DF_4509_9C07_453BA5A62846_.wvu.FilterData" hidden="1">#REF!</definedName>
    <definedName name="Z_5DB05E9F_8F3B_4886_A6CB_2CC53331BA7A_.wvu.FilterData" localSheetId="3" hidden="1">#REF!</definedName>
    <definedName name="Z_5DB05E9F_8F3B_4886_A6CB_2CC53331BA7A_.wvu.FilterData" localSheetId="7" hidden="1">#REF!</definedName>
    <definedName name="Z_5DB05E9F_8F3B_4886_A6CB_2CC53331BA7A_.wvu.FilterData" hidden="1">#REF!</definedName>
    <definedName name="Z_5F096896_2CB8_4B96_A0FE_9AB50EEEEFAB_.wvu.FilterData" localSheetId="3" hidden="1">#REF!</definedName>
    <definedName name="Z_5F096896_2CB8_4B96_A0FE_9AB50EEEEFAB_.wvu.FilterData" localSheetId="7" hidden="1">#REF!</definedName>
    <definedName name="Z_5F096896_2CB8_4B96_A0FE_9AB50EEEEFAB_.wvu.FilterData" hidden="1">#REF!</definedName>
    <definedName name="Z_60DF8B29_1C1F_4B50_BDA8_B8E0C7DD04C3_.wvu.Cols" hidden="1">[24]Jurídico!$D$1:$D$65536,[24]Jurídico!$F$1:$K$65536</definedName>
    <definedName name="Z_616443B5_6F0D_4082_9223_F71B54305366_.wvu.FilterData" localSheetId="3" hidden="1">#REF!</definedName>
    <definedName name="Z_616443B5_6F0D_4082_9223_F71B54305366_.wvu.FilterData" localSheetId="6" hidden="1">#REF!</definedName>
    <definedName name="Z_616443B5_6F0D_4082_9223_F71B54305366_.wvu.FilterData" localSheetId="7" hidden="1">#REF!</definedName>
    <definedName name="Z_616443B5_6F0D_4082_9223_F71B54305366_.wvu.FilterData" localSheetId="10" hidden="1">#REF!</definedName>
    <definedName name="Z_616443B5_6F0D_4082_9223_F71B54305366_.wvu.FilterData" localSheetId="11" hidden="1">#REF!</definedName>
    <definedName name="Z_616443B5_6F0D_4082_9223_F71B54305366_.wvu.FilterData" hidden="1">#REF!</definedName>
    <definedName name="Z_631F0312_B404_409F_AF2B_39FB2D25040B_.wvu.FilterData" localSheetId="3" hidden="1">#REF!</definedName>
    <definedName name="Z_631F0312_B404_409F_AF2B_39FB2D25040B_.wvu.FilterData" localSheetId="6" hidden="1">#REF!</definedName>
    <definedName name="Z_631F0312_B404_409F_AF2B_39FB2D25040B_.wvu.FilterData" localSheetId="7" hidden="1">#REF!</definedName>
    <definedName name="Z_631F0312_B404_409F_AF2B_39FB2D25040B_.wvu.FilterData" localSheetId="10" hidden="1">#REF!</definedName>
    <definedName name="Z_631F0312_B404_409F_AF2B_39FB2D25040B_.wvu.FilterData" hidden="1">#REF!</definedName>
    <definedName name="Z_632CF316_8294_4588_87E1_2B69E184A62B_.wvu.FilterData" localSheetId="3" hidden="1">#REF!</definedName>
    <definedName name="Z_632CF316_8294_4588_87E1_2B69E184A62B_.wvu.FilterData" localSheetId="7" hidden="1">#REF!</definedName>
    <definedName name="Z_632CF316_8294_4588_87E1_2B69E184A62B_.wvu.FilterData" localSheetId="10" hidden="1">#REF!</definedName>
    <definedName name="Z_632CF316_8294_4588_87E1_2B69E184A62B_.wvu.FilterData" hidden="1">#REF!</definedName>
    <definedName name="Z_66D1BA5F_F4AE_443C_8583_CE89D6674A73_.wvu.FilterData" localSheetId="3" hidden="1">#REF!</definedName>
    <definedName name="Z_66D1BA5F_F4AE_443C_8583_CE89D6674A73_.wvu.FilterData" localSheetId="7" hidden="1">#REF!</definedName>
    <definedName name="Z_66D1BA5F_F4AE_443C_8583_CE89D6674A73_.wvu.FilterData" hidden="1">#REF!</definedName>
    <definedName name="Z_66DD4806_8039_438A_B1CE_46CC5B464050_.wvu.FilterData" localSheetId="3" hidden="1">#REF!</definedName>
    <definedName name="Z_66DD4806_8039_438A_B1CE_46CC5B464050_.wvu.FilterData" localSheetId="7" hidden="1">#REF!</definedName>
    <definedName name="Z_66DD4806_8039_438A_B1CE_46CC5B464050_.wvu.FilterData" hidden="1">#REF!</definedName>
    <definedName name="Z_67B65FDF_FF67_490E_B8E5_92DC66C9FC9D_.wvu.FilterData" localSheetId="3" hidden="1">#REF!</definedName>
    <definedName name="Z_67B65FDF_FF67_490E_B8E5_92DC66C9FC9D_.wvu.FilterData" localSheetId="7" hidden="1">#REF!</definedName>
    <definedName name="Z_67B65FDF_FF67_490E_B8E5_92DC66C9FC9D_.wvu.FilterData" hidden="1">#REF!</definedName>
    <definedName name="Z_68B709DF_9429_4090_9106_386C5F16C4D7_.wvu.FilterData" localSheetId="3" hidden="1">#REF!</definedName>
    <definedName name="Z_68B709DF_9429_4090_9106_386C5F16C4D7_.wvu.FilterData" localSheetId="7" hidden="1">#REF!</definedName>
    <definedName name="Z_68B709DF_9429_4090_9106_386C5F16C4D7_.wvu.FilterData" hidden="1">#REF!</definedName>
    <definedName name="Z_690BC25F_5AA3_4B4B_9507_8C197E768E98_.wvu.FilterData" localSheetId="3" hidden="1">#REF!</definedName>
    <definedName name="Z_690BC25F_5AA3_4B4B_9507_8C197E768E98_.wvu.FilterData" localSheetId="7" hidden="1">#REF!</definedName>
    <definedName name="Z_690BC25F_5AA3_4B4B_9507_8C197E768E98_.wvu.FilterData" hidden="1">#REF!</definedName>
    <definedName name="Z_6A66B8A7_491B_4A29_94A1_39F4FDA32C48_.wvu.FilterData" localSheetId="3" hidden="1">#REF!</definedName>
    <definedName name="Z_6A66B8A7_491B_4A29_94A1_39F4FDA32C48_.wvu.FilterData" localSheetId="7" hidden="1">#REF!</definedName>
    <definedName name="Z_6A66B8A7_491B_4A29_94A1_39F4FDA32C48_.wvu.FilterData" hidden="1">#REF!</definedName>
    <definedName name="Z_6A6F36C8_24A1_4147_9C63_27B7978935DD_.wvu.FilterData" localSheetId="3" hidden="1">#REF!</definedName>
    <definedName name="Z_6A6F36C8_24A1_4147_9C63_27B7978935DD_.wvu.FilterData" localSheetId="7" hidden="1">#REF!</definedName>
    <definedName name="Z_6A6F36C8_24A1_4147_9C63_27B7978935DD_.wvu.FilterData" hidden="1">#REF!</definedName>
    <definedName name="Z_6C2050D3_ABE5_4B48_B2A7_DDDD21669987_.wvu.FilterData" localSheetId="3" hidden="1">#REF!</definedName>
    <definedName name="Z_6C2050D3_ABE5_4B48_B2A7_DDDD21669987_.wvu.FilterData" localSheetId="7" hidden="1">#REF!</definedName>
    <definedName name="Z_6C2050D3_ABE5_4B48_B2A7_DDDD21669987_.wvu.FilterData" hidden="1">#REF!</definedName>
    <definedName name="Z_6CD84A0B_C00D_4BC8_A655_6383CCA4B296_.wvu.FilterData" localSheetId="3" hidden="1">#REF!</definedName>
    <definedName name="Z_6CD84A0B_C00D_4BC8_A655_6383CCA4B296_.wvu.FilterData" localSheetId="7" hidden="1">#REF!</definedName>
    <definedName name="Z_6CD84A0B_C00D_4BC8_A655_6383CCA4B296_.wvu.FilterData" hidden="1">#REF!</definedName>
    <definedName name="Z_6D5E5F42_E924_48A0_A50F_5BB481AFD1D5_.wvu.FilterData" localSheetId="3" hidden="1">#REF!</definedName>
    <definedName name="Z_6D5E5F42_E924_48A0_A50F_5BB481AFD1D5_.wvu.FilterData" localSheetId="7" hidden="1">#REF!</definedName>
    <definedName name="Z_6D5E5F42_E924_48A0_A50F_5BB481AFD1D5_.wvu.FilterData" hidden="1">#REF!</definedName>
    <definedName name="Z_6D789842_F56B_40C4_8907_F36C02855F76_.wvu.FilterData" localSheetId="3" hidden="1">#REF!</definedName>
    <definedName name="Z_6D789842_F56B_40C4_8907_F36C02855F76_.wvu.FilterData" localSheetId="7" hidden="1">#REF!</definedName>
    <definedName name="Z_6D789842_F56B_40C4_8907_F36C02855F76_.wvu.FilterData" hidden="1">#REF!</definedName>
    <definedName name="Z_6E345713_0818_471C_B54B_D890B987A0BC_.wvu.FilterData" localSheetId="3" hidden="1">#REF!</definedName>
    <definedName name="Z_6E345713_0818_471C_B54B_D890B987A0BC_.wvu.FilterData" localSheetId="7" hidden="1">#REF!</definedName>
    <definedName name="Z_6E345713_0818_471C_B54B_D890B987A0BC_.wvu.FilterData" hidden="1">#REF!</definedName>
    <definedName name="Z_701DEAE4_9CF1_491A_A54B_A6AE3235639D_.wvu.FilterData" localSheetId="3" hidden="1">#REF!</definedName>
    <definedName name="Z_701DEAE4_9CF1_491A_A54B_A6AE3235639D_.wvu.FilterData" localSheetId="7" hidden="1">#REF!</definedName>
    <definedName name="Z_701DEAE4_9CF1_491A_A54B_A6AE3235639D_.wvu.FilterData" hidden="1">#REF!</definedName>
    <definedName name="Z_7319B1DA_C8AE_4D1D_AB4C_B14141921483_.wvu.FilterData" localSheetId="3" hidden="1">#REF!</definedName>
    <definedName name="Z_7319B1DA_C8AE_4D1D_AB4C_B14141921483_.wvu.FilterData" localSheetId="7" hidden="1">#REF!</definedName>
    <definedName name="Z_7319B1DA_C8AE_4D1D_AB4C_B14141921483_.wvu.FilterData" hidden="1">#REF!</definedName>
    <definedName name="Z_75A1B66F_9EE1_4406_8264_C9BF12113183_.wvu.FilterData" localSheetId="3" hidden="1">#REF!</definedName>
    <definedName name="Z_75A1B66F_9EE1_4406_8264_C9BF12113183_.wvu.FilterData" localSheetId="7" hidden="1">#REF!</definedName>
    <definedName name="Z_75A1B66F_9EE1_4406_8264_C9BF12113183_.wvu.FilterData" hidden="1">#REF!</definedName>
    <definedName name="Z_7651BD63_D75B_41A5_B133_06AE6A84AE8F_.wvu.FilterData" localSheetId="3" hidden="1">#REF!</definedName>
    <definedName name="Z_7651BD63_D75B_41A5_B133_06AE6A84AE8F_.wvu.FilterData" localSheetId="7" hidden="1">#REF!</definedName>
    <definedName name="Z_7651BD63_D75B_41A5_B133_06AE6A84AE8F_.wvu.FilterData" hidden="1">#REF!</definedName>
    <definedName name="Z_767B7DB4_B657_4E6E_831B_84CA933FFCBE_.wvu.FilterData" localSheetId="3" hidden="1">#REF!</definedName>
    <definedName name="Z_767B7DB4_B657_4E6E_831B_84CA933FFCBE_.wvu.FilterData" localSheetId="7" hidden="1">#REF!</definedName>
    <definedName name="Z_767B7DB4_B657_4E6E_831B_84CA933FFCBE_.wvu.FilterData" hidden="1">#REF!</definedName>
    <definedName name="Z_76FA93EF_40A9_4929_9B4A_2213742C1620_.wvu.FilterData" localSheetId="3" hidden="1">#REF!</definedName>
    <definedName name="Z_76FA93EF_40A9_4929_9B4A_2213742C1620_.wvu.FilterData" localSheetId="7" hidden="1">#REF!</definedName>
    <definedName name="Z_76FA93EF_40A9_4929_9B4A_2213742C1620_.wvu.FilterData" hidden="1">#REF!</definedName>
    <definedName name="Z_78A33412_D032_45F7_9C2D_D4A31DB937D9_.wvu.FilterData" localSheetId="3" hidden="1">#REF!</definedName>
    <definedName name="Z_78A33412_D032_45F7_9C2D_D4A31DB937D9_.wvu.FilterData" localSheetId="7" hidden="1">#REF!</definedName>
    <definedName name="Z_78A33412_D032_45F7_9C2D_D4A31DB937D9_.wvu.FilterData" hidden="1">#REF!</definedName>
    <definedName name="Z_796E4E5E_16C3_474D_B1D5_F6D39CD34051_.wvu.FilterData" localSheetId="3" hidden="1">#REF!</definedName>
    <definedName name="Z_796E4E5E_16C3_474D_B1D5_F6D39CD34051_.wvu.FilterData" localSheetId="7" hidden="1">#REF!</definedName>
    <definedName name="Z_796E4E5E_16C3_474D_B1D5_F6D39CD34051_.wvu.FilterData" hidden="1">#REF!</definedName>
    <definedName name="Z_799FF90A_59EC_11D7_9495_0002B31BFBD5_.wvu.Cols" localSheetId="3" hidden="1">#REF!,#REF!</definedName>
    <definedName name="Z_799FF90A_59EC_11D7_9495_0002B31BFBD5_.wvu.Cols" localSheetId="6" hidden="1">#REF!,#REF!</definedName>
    <definedName name="Z_799FF90A_59EC_11D7_9495_0002B31BFBD5_.wvu.Cols" localSheetId="7" hidden="1">#REF!,#REF!</definedName>
    <definedName name="Z_799FF90A_59EC_11D7_9495_0002B31BFBD5_.wvu.Cols" localSheetId="10" hidden="1">#REF!,#REF!</definedName>
    <definedName name="Z_799FF90A_59EC_11D7_9495_0002B31BFBD5_.wvu.Cols" localSheetId="11" hidden="1">#REF!,#REF!</definedName>
    <definedName name="Z_799FF90A_59EC_11D7_9495_0002B31BFBD5_.wvu.Cols" hidden="1">#REF!,#REF!</definedName>
    <definedName name="Z_799FF90A_59EC_11D7_9495_0002B31BFBD5_.wvu.Rows" localSheetId="3" hidden="1">#REF!,#REF!,#REF!,#REF!,#REF!,#REF!,#REF!,#REF!,#REF!,#REF!,#REF!,#REF!</definedName>
    <definedName name="Z_799FF90A_59EC_11D7_9495_0002B31BFBD5_.wvu.Rows" localSheetId="6" hidden="1">#REF!,#REF!,#REF!,#REF!,#REF!,#REF!,#REF!,#REF!,#REF!,#REF!,#REF!,#REF!</definedName>
    <definedName name="Z_799FF90A_59EC_11D7_9495_0002B31BFBD5_.wvu.Rows" localSheetId="7" hidden="1">#REF!,#REF!,#REF!,#REF!,#REF!,#REF!,#REF!,#REF!,#REF!,#REF!,#REF!,#REF!</definedName>
    <definedName name="Z_799FF90A_59EC_11D7_9495_0002B31BFBD5_.wvu.Rows" localSheetId="10" hidden="1">#REF!,#REF!,#REF!,#REF!,#REF!,#REF!,#REF!,#REF!,#REF!,#REF!,#REF!,#REF!</definedName>
    <definedName name="Z_799FF90A_59EC_11D7_9495_0002B31BFBD5_.wvu.Rows" localSheetId="11" hidden="1">#REF!,#REF!,#REF!,#REF!,#REF!,#REF!,#REF!,#REF!,#REF!,#REF!,#REF!,#REF!</definedName>
    <definedName name="Z_799FF90A_59EC_11D7_9495_0002B31BFBD5_.wvu.Rows" hidden="1">#REF!,#REF!,#REF!,#REF!,#REF!,#REF!,#REF!,#REF!,#REF!,#REF!,#REF!,#REF!</definedName>
    <definedName name="Z_7AE3F8A6_7282_4640_BAE6_7D5F8B45608B_.wvu.Cols" localSheetId="3" hidden="1">#REF!</definedName>
    <definedName name="Z_7AE3F8A6_7282_4640_BAE6_7D5F8B45608B_.wvu.Cols" localSheetId="6" hidden="1">#REF!</definedName>
    <definedName name="Z_7AE3F8A6_7282_4640_BAE6_7D5F8B45608B_.wvu.Cols" localSheetId="7" hidden="1">#REF!</definedName>
    <definedName name="Z_7AE3F8A6_7282_4640_BAE6_7D5F8B45608B_.wvu.Cols" localSheetId="10" hidden="1">#REF!</definedName>
    <definedName name="Z_7AE3F8A6_7282_4640_BAE6_7D5F8B45608B_.wvu.Cols" localSheetId="11" hidden="1">#REF!</definedName>
    <definedName name="Z_7AE3F8A6_7282_4640_BAE6_7D5F8B45608B_.wvu.Cols" hidden="1">#REF!</definedName>
    <definedName name="Z_7BFA9C41_C881_48A8_90C2_F93F8E16E599_.wvu.FilterData" localSheetId="3" hidden="1">#REF!</definedName>
    <definedName name="Z_7BFA9C41_C881_48A8_90C2_F93F8E16E599_.wvu.FilterData" localSheetId="6" hidden="1">#REF!</definedName>
    <definedName name="Z_7BFA9C41_C881_48A8_90C2_F93F8E16E599_.wvu.FilterData" localSheetId="7" hidden="1">#REF!</definedName>
    <definedName name="Z_7BFA9C41_C881_48A8_90C2_F93F8E16E599_.wvu.FilterData" localSheetId="10" hidden="1">#REF!</definedName>
    <definedName name="Z_7BFA9C41_C881_48A8_90C2_F93F8E16E599_.wvu.FilterData" hidden="1">#REF!</definedName>
    <definedName name="Z_7BFBCE1E_B6C5_4BAC_AD95_2B50D2ED28AB_.wvu.FilterData" localSheetId="3" hidden="1">#REF!</definedName>
    <definedName name="Z_7BFBCE1E_B6C5_4BAC_AD95_2B50D2ED28AB_.wvu.FilterData" localSheetId="7" hidden="1">#REF!</definedName>
    <definedName name="Z_7BFBCE1E_B6C5_4BAC_AD95_2B50D2ED28AB_.wvu.FilterData" localSheetId="10" hidden="1">#REF!</definedName>
    <definedName name="Z_7BFBCE1E_B6C5_4BAC_AD95_2B50D2ED28AB_.wvu.FilterData" hidden="1">#REF!</definedName>
    <definedName name="Z_7C6FEBF3_4382_4282_BBB0_E0269BEE42DE_.wvu.FilterData" localSheetId="3" hidden="1">#REF!</definedName>
    <definedName name="Z_7C6FEBF3_4382_4282_BBB0_E0269BEE42DE_.wvu.FilterData" localSheetId="7" hidden="1">#REF!</definedName>
    <definedName name="Z_7C6FEBF3_4382_4282_BBB0_E0269BEE42DE_.wvu.FilterData" hidden="1">#REF!</definedName>
    <definedName name="Z_7D057642_92FA_4DD6_84C5_B10B17893E1F_.wvu.FilterData" localSheetId="3" hidden="1">#REF!</definedName>
    <definedName name="Z_7D057642_92FA_4DD6_84C5_B10B17893E1F_.wvu.FilterData" localSheetId="7" hidden="1">#REF!</definedName>
    <definedName name="Z_7D057642_92FA_4DD6_84C5_B10B17893E1F_.wvu.FilterData" hidden="1">#REF!</definedName>
    <definedName name="Z_7ED5F3D1_B838_492E_9467_7E7CE6B348ED_.wvu.FilterData" localSheetId="3" hidden="1">#REF!</definedName>
    <definedName name="Z_7ED5F3D1_B838_492E_9467_7E7CE6B348ED_.wvu.FilterData" localSheetId="7" hidden="1">#REF!</definedName>
    <definedName name="Z_7ED5F3D1_B838_492E_9467_7E7CE6B348ED_.wvu.FilterData" hidden="1">#REF!</definedName>
    <definedName name="Z_8090FD3B_94DF_4ACF_9708_D5B9ADEFD29C_.wvu.FilterData" localSheetId="3" hidden="1">#REF!</definedName>
    <definedName name="Z_8090FD3B_94DF_4ACF_9708_D5B9ADEFD29C_.wvu.FilterData" localSheetId="7" hidden="1">#REF!</definedName>
    <definedName name="Z_8090FD3B_94DF_4ACF_9708_D5B9ADEFD29C_.wvu.FilterData" hidden="1">#REF!</definedName>
    <definedName name="Z_8149A5A7_8307_4FA6_B457_A66B8A6DFABD_.wvu.FilterData" localSheetId="3" hidden="1">#REF!</definedName>
    <definedName name="Z_8149A5A7_8307_4FA6_B457_A66B8A6DFABD_.wvu.FilterData" localSheetId="7" hidden="1">#REF!</definedName>
    <definedName name="Z_8149A5A7_8307_4FA6_B457_A66B8A6DFABD_.wvu.FilterData" hidden="1">#REF!</definedName>
    <definedName name="Z_819A0FD3_B678_47E8_9DFB_641B3990B590_.wvu.FilterData" localSheetId="3" hidden="1">#REF!</definedName>
    <definedName name="Z_819A0FD3_B678_47E8_9DFB_641B3990B590_.wvu.FilterData" localSheetId="7" hidden="1">#REF!</definedName>
    <definedName name="Z_819A0FD3_B678_47E8_9DFB_641B3990B590_.wvu.FilterData" hidden="1">#REF!</definedName>
    <definedName name="Z_82999604_BD48_4054_BDCB_CB8B074A34A3_.wvu.FilterData" localSheetId="3" hidden="1">#REF!</definedName>
    <definedName name="Z_82999604_BD48_4054_BDCB_CB8B074A34A3_.wvu.FilterData" localSheetId="7" hidden="1">#REF!</definedName>
    <definedName name="Z_82999604_BD48_4054_BDCB_CB8B074A34A3_.wvu.FilterData" hidden="1">#REF!</definedName>
    <definedName name="Z_8473B3F0_0740_4E9F_9BAE_9113E5077DE8_.wvu.FilterData" localSheetId="3" hidden="1">#REF!</definedName>
    <definedName name="Z_8473B3F0_0740_4E9F_9BAE_9113E5077DE8_.wvu.FilterData" localSheetId="7" hidden="1">#REF!</definedName>
    <definedName name="Z_8473B3F0_0740_4E9F_9BAE_9113E5077DE8_.wvu.FilterData" hidden="1">#REF!</definedName>
    <definedName name="Z_85A83A94_71B4_44C8_8B5A_68CAA2461241_.wvu.FilterData" localSheetId="3" hidden="1">#REF!</definedName>
    <definedName name="Z_85A83A94_71B4_44C8_8B5A_68CAA2461241_.wvu.FilterData" localSheetId="7" hidden="1">#REF!</definedName>
    <definedName name="Z_85A83A94_71B4_44C8_8B5A_68CAA2461241_.wvu.FilterData" hidden="1">#REF!</definedName>
    <definedName name="Z_86E0C273_91AF_11D7_9C1E_0004231B06E7_.wvu.FilterData" localSheetId="3" hidden="1">#REF!</definedName>
    <definedName name="Z_86E0C273_91AF_11D7_9C1E_0004231B06E7_.wvu.FilterData" localSheetId="7" hidden="1">#REF!</definedName>
    <definedName name="Z_86E0C273_91AF_11D7_9C1E_0004231B06E7_.wvu.FilterData" hidden="1">#REF!</definedName>
    <definedName name="Z_87F04A72_68BF_497D_8569_47D1A3B89590_.wvu.FilterData" localSheetId="3" hidden="1">#REF!</definedName>
    <definedName name="Z_87F04A72_68BF_497D_8569_47D1A3B89590_.wvu.FilterData" localSheetId="7" hidden="1">#REF!</definedName>
    <definedName name="Z_87F04A72_68BF_497D_8569_47D1A3B89590_.wvu.FilterData" hidden="1">#REF!</definedName>
    <definedName name="Z_893CBEFD_F317_41F0_BA87_CC1860E1F73B_.wvu.FilterData" localSheetId="3" hidden="1">#REF!</definedName>
    <definedName name="Z_893CBEFD_F317_41F0_BA87_CC1860E1F73B_.wvu.FilterData" localSheetId="7" hidden="1">#REF!</definedName>
    <definedName name="Z_893CBEFD_F317_41F0_BA87_CC1860E1F73B_.wvu.FilterData" hidden="1">#REF!</definedName>
    <definedName name="Z_89D83FA2_2F4F_4275_9074_3A6247C2CDA6_.wvu.FilterData" localSheetId="3" hidden="1">#REF!</definedName>
    <definedName name="Z_89D83FA2_2F4F_4275_9074_3A6247C2CDA6_.wvu.FilterData" localSheetId="7" hidden="1">#REF!</definedName>
    <definedName name="Z_89D83FA2_2F4F_4275_9074_3A6247C2CDA6_.wvu.FilterData" hidden="1">#REF!</definedName>
    <definedName name="Z_8B2E8E84_1A68_4B75_A867_04E8EAC8E685_.wvu.FilterData" localSheetId="3" hidden="1">#REF!</definedName>
    <definedName name="Z_8B2E8E84_1A68_4B75_A867_04E8EAC8E685_.wvu.FilterData" localSheetId="7" hidden="1">#REF!</definedName>
    <definedName name="Z_8B2E8E84_1A68_4B75_A867_04E8EAC8E685_.wvu.FilterData" hidden="1">#REF!</definedName>
    <definedName name="Z_8B5FADF8_BAFC_44E0_9D1D_DE21657D83CA_.wvu.FilterData" localSheetId="3" hidden="1">#REF!</definedName>
    <definedName name="Z_8B5FADF8_BAFC_44E0_9D1D_DE21657D83CA_.wvu.FilterData" localSheetId="7" hidden="1">#REF!</definedName>
    <definedName name="Z_8B5FADF8_BAFC_44E0_9D1D_DE21657D83CA_.wvu.FilterData" hidden="1">#REF!</definedName>
    <definedName name="Z_8CBA7976_3F45_4926_8F5C_251343B1DCDB_.wvu.FilterData" localSheetId="3" hidden="1">#REF!</definedName>
    <definedName name="Z_8CBA7976_3F45_4926_8F5C_251343B1DCDB_.wvu.FilterData" localSheetId="7" hidden="1">#REF!</definedName>
    <definedName name="Z_8CBA7976_3F45_4926_8F5C_251343B1DCDB_.wvu.FilterData" hidden="1">#REF!</definedName>
    <definedName name="Z_8D213052_8AFD_4E06_B410_DCB431062572_.wvu.FilterData" localSheetId="3" hidden="1">#REF!</definedName>
    <definedName name="Z_8D213052_8AFD_4E06_B410_DCB431062572_.wvu.FilterData" localSheetId="7" hidden="1">#REF!</definedName>
    <definedName name="Z_8D213052_8AFD_4E06_B410_DCB431062572_.wvu.FilterData" hidden="1">#REF!</definedName>
    <definedName name="Z_8EA755F4_0515_4AA0_970C_55F473C7FD9B_.wvu.FilterData" localSheetId="3" hidden="1">#REF!</definedName>
    <definedName name="Z_8EA755F4_0515_4AA0_970C_55F473C7FD9B_.wvu.FilterData" localSheetId="7" hidden="1">#REF!</definedName>
    <definedName name="Z_8EA755F4_0515_4AA0_970C_55F473C7FD9B_.wvu.FilterData" hidden="1">#REF!</definedName>
    <definedName name="Z_8F33F4E3_A14E_4DD4_ADD4_B19023A45B10_.wvu.FilterData" localSheetId="3" hidden="1">#REF!</definedName>
    <definedName name="Z_8F33F4E3_A14E_4DD4_ADD4_B19023A45B10_.wvu.FilterData" localSheetId="7" hidden="1">#REF!</definedName>
    <definedName name="Z_8F33F4E3_A14E_4DD4_ADD4_B19023A45B10_.wvu.FilterData" hidden="1">#REF!</definedName>
    <definedName name="Z_901BF8EA_CA8A_411C_8FD3_BCB793FCF48A_.wvu.FilterData" localSheetId="3" hidden="1">#REF!</definedName>
    <definedName name="Z_901BF8EA_CA8A_411C_8FD3_BCB793FCF48A_.wvu.FilterData" localSheetId="7" hidden="1">#REF!</definedName>
    <definedName name="Z_901BF8EA_CA8A_411C_8FD3_BCB793FCF48A_.wvu.FilterData" hidden="1">#REF!</definedName>
    <definedName name="Z_91488B6D_F045_4050_BA1B_41C2E3B3B10A_.wvu.FilterData" localSheetId="3" hidden="1">#REF!</definedName>
    <definedName name="Z_91488B6D_F045_4050_BA1B_41C2E3B3B10A_.wvu.FilterData" localSheetId="7" hidden="1">#REF!</definedName>
    <definedName name="Z_91488B6D_F045_4050_BA1B_41C2E3B3B10A_.wvu.FilterData" hidden="1">#REF!</definedName>
    <definedName name="Z_92919032_3A1D_4E0A_A8D8_FD23494D13A8_.wvu.FilterData" localSheetId="3" hidden="1">#REF!</definedName>
    <definedName name="Z_92919032_3A1D_4E0A_A8D8_FD23494D13A8_.wvu.FilterData" localSheetId="7" hidden="1">#REF!</definedName>
    <definedName name="Z_92919032_3A1D_4E0A_A8D8_FD23494D13A8_.wvu.FilterData" hidden="1">#REF!</definedName>
    <definedName name="Z_9587B38A_B060_410B_8598_4B23623A371C_.wvu.FilterData" localSheetId="3" hidden="1">#REF!</definedName>
    <definedName name="Z_9587B38A_B060_410B_8598_4B23623A371C_.wvu.FilterData" localSheetId="7" hidden="1">#REF!</definedName>
    <definedName name="Z_9587B38A_B060_410B_8598_4B23623A371C_.wvu.FilterData" hidden="1">#REF!</definedName>
    <definedName name="Z_96EB0306_BB94_45E8_9D0D_4C07A6623010_.wvu.FilterData" localSheetId="3" hidden="1">#REF!</definedName>
    <definedName name="Z_96EB0306_BB94_45E8_9D0D_4C07A6623010_.wvu.FilterData" localSheetId="7" hidden="1">#REF!</definedName>
    <definedName name="Z_96EB0306_BB94_45E8_9D0D_4C07A6623010_.wvu.FilterData" hidden="1">#REF!</definedName>
    <definedName name="Z_97666733_8666_4F9D_9588_AF9B6CF9224C_.wvu.FilterData" localSheetId="3" hidden="1">#REF!</definedName>
    <definedName name="Z_97666733_8666_4F9D_9588_AF9B6CF9224C_.wvu.FilterData" localSheetId="7" hidden="1">#REF!</definedName>
    <definedName name="Z_97666733_8666_4F9D_9588_AF9B6CF9224C_.wvu.FilterData" hidden="1">#REF!</definedName>
    <definedName name="Z_98599B4F_1D05_4040_9183_E1D7A1DDEB9C_.wvu.FilterData" localSheetId="3" hidden="1">#REF!</definedName>
    <definedName name="Z_98599B4F_1D05_4040_9183_E1D7A1DDEB9C_.wvu.FilterData" localSheetId="7" hidden="1">#REF!</definedName>
    <definedName name="Z_98599B4F_1D05_4040_9183_E1D7A1DDEB9C_.wvu.FilterData" hidden="1">#REF!</definedName>
    <definedName name="Z_98C8BF36_C172_45C3_8EFB_521E6ACCA0D3_.wvu.FilterData" localSheetId="3" hidden="1">#REF!</definedName>
    <definedName name="Z_98C8BF36_C172_45C3_8EFB_521E6ACCA0D3_.wvu.FilterData" localSheetId="7" hidden="1">#REF!</definedName>
    <definedName name="Z_98C8BF36_C172_45C3_8EFB_521E6ACCA0D3_.wvu.FilterData" hidden="1">#REF!</definedName>
    <definedName name="Z_9A372634_7C2D_4502_BF44_0C63FD1FB6D2_.wvu.FilterData" localSheetId="3" hidden="1">#REF!</definedName>
    <definedName name="Z_9A372634_7C2D_4502_BF44_0C63FD1FB6D2_.wvu.FilterData" localSheetId="7" hidden="1">#REF!</definedName>
    <definedName name="Z_9A372634_7C2D_4502_BF44_0C63FD1FB6D2_.wvu.FilterData" hidden="1">#REF!</definedName>
    <definedName name="Z_9A5CC0D4_28E7_4461_BE2E_802002496535_.wvu.FilterData" localSheetId="3" hidden="1">#REF!</definedName>
    <definedName name="Z_9A5CC0D4_28E7_4461_BE2E_802002496535_.wvu.FilterData" localSheetId="7" hidden="1">#REF!</definedName>
    <definedName name="Z_9A5CC0D4_28E7_4461_BE2E_802002496535_.wvu.FilterData" hidden="1">#REF!</definedName>
    <definedName name="Z_9C86BF25_210A_4B5C_9F2A_856CA801294A_.wvu.FilterData" localSheetId="3" hidden="1">#REF!</definedName>
    <definedName name="Z_9C86BF25_210A_4B5C_9F2A_856CA801294A_.wvu.FilterData" localSheetId="7" hidden="1">#REF!</definedName>
    <definedName name="Z_9C86BF25_210A_4B5C_9F2A_856CA801294A_.wvu.FilterData" hidden="1">#REF!</definedName>
    <definedName name="Z_9C8AF864_7E20_415C_848E_C2849E8CBF0C_.wvu.FilterData" localSheetId="3" hidden="1">#REF!</definedName>
    <definedName name="Z_9C8AF864_7E20_415C_848E_C2849E8CBF0C_.wvu.FilterData" localSheetId="7" hidden="1">#REF!</definedName>
    <definedName name="Z_9C8AF864_7E20_415C_848E_C2849E8CBF0C_.wvu.FilterData" hidden="1">#REF!</definedName>
    <definedName name="Z_9E7B61E2_2701_4257_A261_86548A6D7D7C_.wvu.FilterData" localSheetId="3" hidden="1">#REF!</definedName>
    <definedName name="Z_9E7B61E2_2701_4257_A261_86548A6D7D7C_.wvu.FilterData" localSheetId="7" hidden="1">#REF!</definedName>
    <definedName name="Z_9E7B61E2_2701_4257_A261_86548A6D7D7C_.wvu.FilterData" hidden="1">#REF!</definedName>
    <definedName name="Z_A0276843_5A14_4A7A_AD1C_583475FE9ED2_.wvu.FilterData" localSheetId="3" hidden="1">#REF!</definedName>
    <definedName name="Z_A0276843_5A14_4A7A_AD1C_583475FE9ED2_.wvu.FilterData" localSheetId="7" hidden="1">#REF!</definedName>
    <definedName name="Z_A0276843_5A14_4A7A_AD1C_583475FE9ED2_.wvu.FilterData" hidden="1">#REF!</definedName>
    <definedName name="Z_A2CB926C_E33A_4E38_9626_682814771DB1_.wvu.FilterData" localSheetId="3" hidden="1">#REF!</definedName>
    <definedName name="Z_A2CB926C_E33A_4E38_9626_682814771DB1_.wvu.FilterData" localSheetId="7" hidden="1">#REF!</definedName>
    <definedName name="Z_A2CB926C_E33A_4E38_9626_682814771DB1_.wvu.FilterData" hidden="1">#REF!</definedName>
    <definedName name="Z_A320C8A7_8D87_4204_85D4_AE25493D1363_.wvu.FilterData" localSheetId="3" hidden="1">#REF!</definedName>
    <definedName name="Z_A320C8A7_8D87_4204_85D4_AE25493D1363_.wvu.FilterData" localSheetId="7" hidden="1">#REF!</definedName>
    <definedName name="Z_A320C8A7_8D87_4204_85D4_AE25493D1363_.wvu.FilterData" hidden="1">#REF!</definedName>
    <definedName name="Z_A5F4C2AC_640B_40D9_88C9_69B3215DBE96_.wvu.FilterData" localSheetId="3" hidden="1">#REF!</definedName>
    <definedName name="Z_A5F4C2AC_640B_40D9_88C9_69B3215DBE96_.wvu.FilterData" localSheetId="7" hidden="1">#REF!</definedName>
    <definedName name="Z_A5F4C2AC_640B_40D9_88C9_69B3215DBE96_.wvu.FilterData" hidden="1">#REF!</definedName>
    <definedName name="Z_A686C168_1672_48B1_ADFD_481A1276CC81_.wvu.FilterData" localSheetId="3" hidden="1">#REF!</definedName>
    <definedName name="Z_A686C168_1672_48B1_ADFD_481A1276CC81_.wvu.FilterData" localSheetId="7" hidden="1">#REF!</definedName>
    <definedName name="Z_A686C168_1672_48B1_ADFD_481A1276CC81_.wvu.FilterData" hidden="1">#REF!</definedName>
    <definedName name="Z_A933351F_4BD3_4901_98D5_53D192BD61DC_.wvu.FilterData" localSheetId="3" hidden="1">#REF!</definedName>
    <definedName name="Z_A933351F_4BD3_4901_98D5_53D192BD61DC_.wvu.FilterData" localSheetId="7" hidden="1">#REF!</definedName>
    <definedName name="Z_A933351F_4BD3_4901_98D5_53D192BD61DC_.wvu.FilterData" hidden="1">#REF!</definedName>
    <definedName name="Z_AA0BD2F5_1513_40DB_B224_CC27CA57E181_.wvu.FilterData" localSheetId="3" hidden="1">#REF!</definedName>
    <definedName name="Z_AA0BD2F5_1513_40DB_B224_CC27CA57E181_.wvu.FilterData" localSheetId="7" hidden="1">#REF!</definedName>
    <definedName name="Z_AA0BD2F5_1513_40DB_B224_CC27CA57E181_.wvu.FilterData" hidden="1">#REF!</definedName>
    <definedName name="Z_AA329A38_94E6_4014_8D54_EFB48C7FA433_.wvu.FilterData" localSheetId="3" hidden="1">#REF!</definedName>
    <definedName name="Z_AA329A38_94E6_4014_8D54_EFB48C7FA433_.wvu.FilterData" localSheetId="7" hidden="1">#REF!</definedName>
    <definedName name="Z_AA329A38_94E6_4014_8D54_EFB48C7FA433_.wvu.FilterData" hidden="1">#REF!</definedName>
    <definedName name="Z_AC5679A6_5A24_441C_BBA3_F0C9D8E8E441_.wvu.FilterData" localSheetId="3" hidden="1">#REF!</definedName>
    <definedName name="Z_AC5679A6_5A24_441C_BBA3_F0C9D8E8E441_.wvu.FilterData" localSheetId="7" hidden="1">#REF!</definedName>
    <definedName name="Z_AC5679A6_5A24_441C_BBA3_F0C9D8E8E441_.wvu.FilterData" hidden="1">#REF!</definedName>
    <definedName name="Z_ACE528A7_3516_429C_8E77_FA07F86ED2D8_.wvu.Cols" localSheetId="3" hidden="1">#REF!</definedName>
    <definedName name="Z_ACE528A7_3516_429C_8E77_FA07F86ED2D8_.wvu.Cols" localSheetId="7" hidden="1">#REF!</definedName>
    <definedName name="Z_ACE528A7_3516_429C_8E77_FA07F86ED2D8_.wvu.Cols" hidden="1">#REF!</definedName>
    <definedName name="Z_AE302359_F16A_4874_8921_3865B0ECD878_.wvu.FilterData" localSheetId="3" hidden="1">#REF!</definedName>
    <definedName name="Z_AE302359_F16A_4874_8921_3865B0ECD878_.wvu.FilterData" localSheetId="7" hidden="1">#REF!</definedName>
    <definedName name="Z_AE302359_F16A_4874_8921_3865B0ECD878_.wvu.FilterData" hidden="1">#REF!</definedName>
    <definedName name="Z_AF0BF736_181F_4A59_8FB9_D3BCA8E591F7_.wvu.FilterData" localSheetId="3" hidden="1">#REF!</definedName>
    <definedName name="Z_AF0BF736_181F_4A59_8FB9_D3BCA8E591F7_.wvu.FilterData" localSheetId="7" hidden="1">#REF!</definedName>
    <definedName name="Z_AF0BF736_181F_4A59_8FB9_D3BCA8E591F7_.wvu.FilterData" hidden="1">#REF!</definedName>
    <definedName name="Z_AF12B415_1D2E_4088_9C86_BB0173951217_.wvu.FilterData" localSheetId="3" hidden="1">#REF!</definedName>
    <definedName name="Z_AF12B415_1D2E_4088_9C86_BB0173951217_.wvu.FilterData" localSheetId="7" hidden="1">#REF!</definedName>
    <definedName name="Z_AF12B415_1D2E_4088_9C86_BB0173951217_.wvu.FilterData" hidden="1">#REF!</definedName>
    <definedName name="Z_AF537E87_E5DE_4792_8C82_FFA1FC35463A_.wvu.FilterData" localSheetId="3" hidden="1">#REF!</definedName>
    <definedName name="Z_AF537E87_E5DE_4792_8C82_FFA1FC35463A_.wvu.FilterData" localSheetId="7" hidden="1">#REF!</definedName>
    <definedName name="Z_AF537E87_E5DE_4792_8C82_FFA1FC35463A_.wvu.FilterData" hidden="1">#REF!</definedName>
    <definedName name="Z_B1269BAB_A618_45E5_8379_9ECE98405A14_.wvu.FilterData" localSheetId="3" hidden="1">#REF!</definedName>
    <definedName name="Z_B1269BAB_A618_45E5_8379_9ECE98405A14_.wvu.FilterData" localSheetId="7" hidden="1">#REF!</definedName>
    <definedName name="Z_B1269BAB_A618_45E5_8379_9ECE98405A14_.wvu.FilterData" hidden="1">#REF!</definedName>
    <definedName name="Z_B20EEB3D_E9E6_496E_8678_B417DDC74718_.wvu.FilterData" localSheetId="3" hidden="1">#REF!</definedName>
    <definedName name="Z_B20EEB3D_E9E6_496E_8678_B417DDC74718_.wvu.FilterData" localSheetId="7" hidden="1">#REF!</definedName>
    <definedName name="Z_B20EEB3D_E9E6_496E_8678_B417DDC74718_.wvu.FilterData" hidden="1">#REF!</definedName>
    <definedName name="Z_B4864B96_AD18_4114_8AFA_A8BAA8915737_.wvu.FilterData" localSheetId="3" hidden="1">#REF!</definedName>
    <definedName name="Z_B4864B96_AD18_4114_8AFA_A8BAA8915737_.wvu.FilterData" localSheetId="7" hidden="1">#REF!</definedName>
    <definedName name="Z_B4864B96_AD18_4114_8AFA_A8BAA8915737_.wvu.FilterData" hidden="1">#REF!</definedName>
    <definedName name="Z_B645C4A8_1830_42C7_9DBF_0F519499A6CE_.wvu.FilterData" localSheetId="3" hidden="1">#REF!</definedName>
    <definedName name="Z_B645C4A8_1830_42C7_9DBF_0F519499A6CE_.wvu.FilterData" localSheetId="7" hidden="1">#REF!</definedName>
    <definedName name="Z_B645C4A8_1830_42C7_9DBF_0F519499A6CE_.wvu.FilterData" hidden="1">#REF!</definedName>
    <definedName name="Z_B7475313_60A1_440E_A07B_6B97978B34F2_.wvu.FilterData" localSheetId="3" hidden="1">#REF!</definedName>
    <definedName name="Z_B7475313_60A1_440E_A07B_6B97978B34F2_.wvu.FilterData" localSheetId="7" hidden="1">#REF!</definedName>
    <definedName name="Z_B7475313_60A1_440E_A07B_6B97978B34F2_.wvu.FilterData" hidden="1">#REF!</definedName>
    <definedName name="Z_B891B51F_1CA2_435F_A819_8A494B08D3EE_.wvu.FilterData" localSheetId="3" hidden="1">#REF!</definedName>
    <definedName name="Z_B891B51F_1CA2_435F_A819_8A494B08D3EE_.wvu.FilterData" localSheetId="7" hidden="1">#REF!</definedName>
    <definedName name="Z_B891B51F_1CA2_435F_A819_8A494B08D3EE_.wvu.FilterData" hidden="1">#REF!</definedName>
    <definedName name="Z_B8CE2FA5_D3F2_48A0_8603_A3FBA2808CB4_.wvu.FilterData" localSheetId="3" hidden="1">#REF!</definedName>
    <definedName name="Z_B8CE2FA5_D3F2_48A0_8603_A3FBA2808CB4_.wvu.FilterData" localSheetId="7" hidden="1">#REF!</definedName>
    <definedName name="Z_B8CE2FA5_D3F2_48A0_8603_A3FBA2808CB4_.wvu.FilterData" hidden="1">#REF!</definedName>
    <definedName name="Z_B9837360_94DA_11D7_9C1E_0004231B06E7_.wvu.FilterData" localSheetId="3" hidden="1">#REF!</definedName>
    <definedName name="Z_B9837360_94DA_11D7_9C1E_0004231B06E7_.wvu.FilterData" localSheetId="7" hidden="1">#REF!</definedName>
    <definedName name="Z_B9837360_94DA_11D7_9C1E_0004231B06E7_.wvu.FilterData" hidden="1">#REF!</definedName>
    <definedName name="Z_BBE1AFA0_C6F6_4019_9D53_075DA4654337_.wvu.FilterData" localSheetId="3" hidden="1">#REF!</definedName>
    <definedName name="Z_BBE1AFA0_C6F6_4019_9D53_075DA4654337_.wvu.FilterData" localSheetId="7" hidden="1">#REF!</definedName>
    <definedName name="Z_BBE1AFA0_C6F6_4019_9D53_075DA4654337_.wvu.FilterData" hidden="1">#REF!</definedName>
    <definedName name="Z_BC0EED6A_3F15_49FF_A48F_B40AC74B528A_.wvu.FilterData" localSheetId="3" hidden="1">#REF!</definedName>
    <definedName name="Z_BC0EED6A_3F15_49FF_A48F_B40AC74B528A_.wvu.FilterData" localSheetId="7" hidden="1">#REF!</definedName>
    <definedName name="Z_BC0EED6A_3F15_49FF_A48F_B40AC74B528A_.wvu.FilterData" hidden="1">#REF!</definedName>
    <definedName name="Z_BC4212E8_2D54_48E9_A2B4_66875F86EBEF_.wvu.FilterData" localSheetId="3" hidden="1">#REF!</definedName>
    <definedName name="Z_BC4212E8_2D54_48E9_A2B4_66875F86EBEF_.wvu.FilterData" localSheetId="7" hidden="1">#REF!</definedName>
    <definedName name="Z_BC4212E8_2D54_48E9_A2B4_66875F86EBEF_.wvu.FilterData" hidden="1">#REF!</definedName>
    <definedName name="Z_BE48B5BF_102F_4FB8_8807_DA126440E01B_.wvu.FilterData" localSheetId="3" hidden="1">#REF!</definedName>
    <definedName name="Z_BE48B5BF_102F_4FB8_8807_DA126440E01B_.wvu.FilterData" localSheetId="7" hidden="1">#REF!</definedName>
    <definedName name="Z_BE48B5BF_102F_4FB8_8807_DA126440E01B_.wvu.FilterData" hidden="1">#REF!</definedName>
    <definedName name="Z_BE949522_4A35_4352_9A91_0CE0E28D3461_.wvu.FilterData" localSheetId="3" hidden="1">#REF!</definedName>
    <definedName name="Z_BE949522_4A35_4352_9A91_0CE0E28D3461_.wvu.FilterData" localSheetId="7" hidden="1">#REF!</definedName>
    <definedName name="Z_BE949522_4A35_4352_9A91_0CE0E28D3461_.wvu.FilterData" hidden="1">#REF!</definedName>
    <definedName name="Z_C1310828_8567_4952_A9D3_7183F1221321_.wvu.FilterData" localSheetId="3" hidden="1">#REF!</definedName>
    <definedName name="Z_C1310828_8567_4952_A9D3_7183F1221321_.wvu.FilterData" localSheetId="7" hidden="1">#REF!</definedName>
    <definedName name="Z_C1310828_8567_4952_A9D3_7183F1221321_.wvu.FilterData" hidden="1">#REF!</definedName>
    <definedName name="Z_C581774C_2FCD_4906_B930_CCB3F9F9A50B_.wvu.FilterData" localSheetId="3" hidden="1">#REF!</definedName>
    <definedName name="Z_C581774C_2FCD_4906_B930_CCB3F9F9A50B_.wvu.FilterData" localSheetId="7" hidden="1">#REF!</definedName>
    <definedName name="Z_C581774C_2FCD_4906_B930_CCB3F9F9A50B_.wvu.FilterData" hidden="1">#REF!</definedName>
    <definedName name="Z_C67C9A44_7556_4756_AC39_E00F137116ED_.wvu.FilterData" localSheetId="3" hidden="1">#REF!</definedName>
    <definedName name="Z_C67C9A44_7556_4756_AC39_E00F137116ED_.wvu.FilterData" localSheetId="7" hidden="1">#REF!</definedName>
    <definedName name="Z_C67C9A44_7556_4756_AC39_E00F137116ED_.wvu.FilterData" hidden="1">#REF!</definedName>
    <definedName name="Z_C908089F_9A5A_11D7_9C1E_0004231B06E7_.wvu.FilterData" localSheetId="3" hidden="1">#REF!</definedName>
    <definedName name="Z_C908089F_9A5A_11D7_9C1E_0004231B06E7_.wvu.FilterData" localSheetId="7" hidden="1">#REF!</definedName>
    <definedName name="Z_C908089F_9A5A_11D7_9C1E_0004231B06E7_.wvu.FilterData" hidden="1">#REF!</definedName>
    <definedName name="Z_C942EE3A_8DBF_41D7_ADAF_F43C01F31E23_.wvu.FilterData" localSheetId="3" hidden="1">#REF!</definedName>
    <definedName name="Z_C942EE3A_8DBF_41D7_ADAF_F43C01F31E23_.wvu.FilterData" localSheetId="7" hidden="1">#REF!</definedName>
    <definedName name="Z_C942EE3A_8DBF_41D7_ADAF_F43C01F31E23_.wvu.FilterData" hidden="1">#REF!</definedName>
    <definedName name="Z_CB8FB7EE_B771_11D7_9C1E_0004231B06E7_.wvu.FilterData" localSheetId="3" hidden="1">#REF!</definedName>
    <definedName name="Z_CB8FB7EE_B771_11D7_9C1E_0004231B06E7_.wvu.FilterData" localSheetId="7" hidden="1">#REF!</definedName>
    <definedName name="Z_CB8FB7EE_B771_11D7_9C1E_0004231B06E7_.wvu.FilterData" hidden="1">#REF!</definedName>
    <definedName name="Z_CB8FB7F1_B771_11D7_9C1E_0004231B06E7_.wvu.FilterData" localSheetId="3" hidden="1">#REF!</definedName>
    <definedName name="Z_CB8FB7F1_B771_11D7_9C1E_0004231B06E7_.wvu.FilterData" localSheetId="7" hidden="1">#REF!</definedName>
    <definedName name="Z_CB8FB7F1_B771_11D7_9C1E_0004231B06E7_.wvu.FilterData" hidden="1">#REF!</definedName>
    <definedName name="Z_CD48E0DF_E307_492A_9CFD_ADF6DE6ECCFB_.wvu.FilterData" localSheetId="3" hidden="1">#REF!</definedName>
    <definedName name="Z_CD48E0DF_E307_492A_9CFD_ADF6DE6ECCFB_.wvu.FilterData" localSheetId="7" hidden="1">#REF!</definedName>
    <definedName name="Z_CD48E0DF_E307_492A_9CFD_ADF6DE6ECCFB_.wvu.FilterData" hidden="1">#REF!</definedName>
    <definedName name="Z_CDAD3BC7_95B1_4949_91B3_EAB234D2A550_.wvu.FilterData" localSheetId="3" hidden="1">#REF!</definedName>
    <definedName name="Z_CDAD3BC7_95B1_4949_91B3_EAB234D2A550_.wvu.FilterData" localSheetId="7" hidden="1">#REF!</definedName>
    <definedName name="Z_CDAD3BC7_95B1_4949_91B3_EAB234D2A550_.wvu.FilterData" hidden="1">#REF!</definedName>
    <definedName name="Z_CE1A6073_4007_44EE_88D3_3C79CF746C78_.wvu.FilterData" localSheetId="3" hidden="1">#REF!</definedName>
    <definedName name="Z_CE1A6073_4007_44EE_88D3_3C79CF746C78_.wvu.FilterData" localSheetId="7" hidden="1">#REF!</definedName>
    <definedName name="Z_CE1A6073_4007_44EE_88D3_3C79CF746C78_.wvu.FilterData" hidden="1">#REF!</definedName>
    <definedName name="Z_D0500033_B90B_46E5_BD62_60D0DA033A55_.wvu.FilterData" localSheetId="3" hidden="1">#REF!</definedName>
    <definedName name="Z_D0500033_B90B_46E5_BD62_60D0DA033A55_.wvu.FilterData" localSheetId="7" hidden="1">#REF!</definedName>
    <definedName name="Z_D0500033_B90B_46E5_BD62_60D0DA033A55_.wvu.FilterData" hidden="1">#REF!</definedName>
    <definedName name="Z_D11C04A2_606C_4EF4_9AD3_4865E5EFAE70_.wvu.FilterData" localSheetId="3" hidden="1">#REF!</definedName>
    <definedName name="Z_D11C04A2_606C_4EF4_9AD3_4865E5EFAE70_.wvu.FilterData" localSheetId="7" hidden="1">#REF!</definedName>
    <definedName name="Z_D11C04A2_606C_4EF4_9AD3_4865E5EFAE70_.wvu.FilterData" hidden="1">#REF!</definedName>
    <definedName name="Z_D1371C66_ADFD_11D7_9C1E_0004231B06E7_.wvu.FilterData" localSheetId="3" hidden="1">#REF!</definedName>
    <definedName name="Z_D1371C66_ADFD_11D7_9C1E_0004231B06E7_.wvu.FilterData" localSheetId="7" hidden="1">#REF!</definedName>
    <definedName name="Z_D1371C66_ADFD_11D7_9C1E_0004231B06E7_.wvu.FilterData" hidden="1">#REF!</definedName>
    <definedName name="Z_D1371C82_ADFD_11D7_9C1E_0004231B06E7_.wvu.FilterData" localSheetId="3" hidden="1">#REF!</definedName>
    <definedName name="Z_D1371C82_ADFD_11D7_9C1E_0004231B06E7_.wvu.FilterData" localSheetId="7" hidden="1">#REF!</definedName>
    <definedName name="Z_D1371C82_ADFD_11D7_9C1E_0004231B06E7_.wvu.FilterData" hidden="1">#REF!</definedName>
    <definedName name="Z_D1371C98_ADFD_11D7_9C1E_0004231B06E7_.wvu.FilterData" localSheetId="3" hidden="1">#REF!</definedName>
    <definedName name="Z_D1371C98_ADFD_11D7_9C1E_0004231B06E7_.wvu.FilterData" localSheetId="7" hidden="1">#REF!</definedName>
    <definedName name="Z_D1371C98_ADFD_11D7_9C1E_0004231B06E7_.wvu.FilterData" hidden="1">#REF!</definedName>
    <definedName name="Z_D15727E9_9BC2_420E_AC98_E8E9B60BD754_.wvu.FilterData" localSheetId="3" hidden="1">#REF!</definedName>
    <definedName name="Z_D15727E9_9BC2_420E_AC98_E8E9B60BD754_.wvu.FilterData" localSheetId="7" hidden="1">#REF!</definedName>
    <definedName name="Z_D15727E9_9BC2_420E_AC98_E8E9B60BD754_.wvu.FilterData" hidden="1">#REF!</definedName>
    <definedName name="Z_D371D622_5497_46A4_826D_01F2F492E39D_.wvu.FilterData" localSheetId="3" hidden="1">#REF!</definedName>
    <definedName name="Z_D371D622_5497_46A4_826D_01F2F492E39D_.wvu.FilterData" localSheetId="7" hidden="1">#REF!</definedName>
    <definedName name="Z_D371D622_5497_46A4_826D_01F2F492E39D_.wvu.FilterData" hidden="1">#REF!</definedName>
    <definedName name="Z_D3FF2053_BD11_4CA8_9648_A06F387C0C79_.wvu.FilterData" localSheetId="3" hidden="1">#REF!</definedName>
    <definedName name="Z_D3FF2053_BD11_4CA8_9648_A06F387C0C79_.wvu.FilterData" localSheetId="7" hidden="1">#REF!</definedName>
    <definedName name="Z_D3FF2053_BD11_4CA8_9648_A06F387C0C79_.wvu.FilterData" hidden="1">#REF!</definedName>
    <definedName name="Z_D4D6DC3A_302F_4BF4_8221_EFB7EA05B30F_.wvu.FilterData" localSheetId="3" hidden="1">#REF!</definedName>
    <definedName name="Z_D4D6DC3A_302F_4BF4_8221_EFB7EA05B30F_.wvu.FilterData" localSheetId="7" hidden="1">#REF!</definedName>
    <definedName name="Z_D4D6DC3A_302F_4BF4_8221_EFB7EA05B30F_.wvu.FilterData" hidden="1">#REF!</definedName>
    <definedName name="Z_D4FF4BA0_F9BE_4CEE_B334_FBD19DA86BF4_.wvu.FilterData" localSheetId="3" hidden="1">#REF!</definedName>
    <definedName name="Z_D4FF4BA0_F9BE_4CEE_B334_FBD19DA86BF4_.wvu.FilterData" localSheetId="7" hidden="1">#REF!</definedName>
    <definedName name="Z_D4FF4BA0_F9BE_4CEE_B334_FBD19DA86BF4_.wvu.FilterData" hidden="1">#REF!</definedName>
    <definedName name="Z_D5810466_54E3_455B_B341_3E7B86FB72D3_.wvu.FilterData" localSheetId="3" hidden="1">#REF!</definedName>
    <definedName name="Z_D5810466_54E3_455B_B341_3E7B86FB72D3_.wvu.FilterData" localSheetId="7" hidden="1">#REF!</definedName>
    <definedName name="Z_D5810466_54E3_455B_B341_3E7B86FB72D3_.wvu.FilterData" hidden="1">#REF!</definedName>
    <definedName name="Z_D60B1DF7_D653_4F01_B5AD_6A66E578C24F_.wvu.FilterData" localSheetId="3" hidden="1">#REF!</definedName>
    <definedName name="Z_D60B1DF7_D653_4F01_B5AD_6A66E578C24F_.wvu.FilterData" localSheetId="7" hidden="1">#REF!</definedName>
    <definedName name="Z_D60B1DF7_D653_4F01_B5AD_6A66E578C24F_.wvu.FilterData" hidden="1">#REF!</definedName>
    <definedName name="Z_D684BA0E_B94B_4BF7_8F27_4E3A1924425C_.wvu.FilterData" localSheetId="3" hidden="1">#REF!</definedName>
    <definedName name="Z_D684BA0E_B94B_4BF7_8F27_4E3A1924425C_.wvu.FilterData" localSheetId="7" hidden="1">#REF!</definedName>
    <definedName name="Z_D684BA0E_B94B_4BF7_8F27_4E3A1924425C_.wvu.FilterData" hidden="1">#REF!</definedName>
    <definedName name="Z_D9443332_B48E_4E65_8F23_AC96FB75A5A9_.wvu.FilterData" localSheetId="3" hidden="1">#REF!</definedName>
    <definedName name="Z_D9443332_B48E_4E65_8F23_AC96FB75A5A9_.wvu.FilterData" localSheetId="7" hidden="1">#REF!</definedName>
    <definedName name="Z_D9443332_B48E_4E65_8F23_AC96FB75A5A9_.wvu.FilterData" hidden="1">#REF!</definedName>
    <definedName name="Z_DAA35AF8_874B_4671_A195_994D9700CFB0_.wvu.FilterData" localSheetId="3" hidden="1">#REF!</definedName>
    <definedName name="Z_DAA35AF8_874B_4671_A195_994D9700CFB0_.wvu.FilterData" localSheetId="7" hidden="1">#REF!</definedName>
    <definedName name="Z_DAA35AF8_874B_4671_A195_994D9700CFB0_.wvu.FilterData" hidden="1">#REF!</definedName>
    <definedName name="Z_DB31579F_8662_40C5_BB19_660F0F7B70E5_.wvu.FilterData" localSheetId="3" hidden="1">#REF!</definedName>
    <definedName name="Z_DB31579F_8662_40C5_BB19_660F0F7B70E5_.wvu.FilterData" localSheetId="7" hidden="1">#REF!</definedName>
    <definedName name="Z_DB31579F_8662_40C5_BB19_660F0F7B70E5_.wvu.FilterData" hidden="1">#REF!</definedName>
    <definedName name="Z_DB349C77_BBCF_4BF0_8906_770DC9CEB279_.wvu.FilterData" localSheetId="3" hidden="1">#REF!</definedName>
    <definedName name="Z_DB349C77_BBCF_4BF0_8906_770DC9CEB279_.wvu.FilterData" localSheetId="7" hidden="1">#REF!</definedName>
    <definedName name="Z_DB349C77_BBCF_4BF0_8906_770DC9CEB279_.wvu.FilterData" hidden="1">#REF!</definedName>
    <definedName name="Z_DBA9A16F_C863_43D6_BEF6_4907AD7FF11A_.wvu.FilterData" localSheetId="3" hidden="1">#REF!</definedName>
    <definedName name="Z_DBA9A16F_C863_43D6_BEF6_4907AD7FF11A_.wvu.FilterData" localSheetId="7" hidden="1">#REF!</definedName>
    <definedName name="Z_DBA9A16F_C863_43D6_BEF6_4907AD7FF11A_.wvu.FilterData" hidden="1">#REF!</definedName>
    <definedName name="Z_DC39DC03_5BF1_41DE_A26D_8DA774859990_.wvu.FilterData" localSheetId="3" hidden="1">#REF!</definedName>
    <definedName name="Z_DC39DC03_5BF1_41DE_A26D_8DA774859990_.wvu.FilterData" localSheetId="7" hidden="1">#REF!</definedName>
    <definedName name="Z_DC39DC03_5BF1_41DE_A26D_8DA774859990_.wvu.FilterData" hidden="1">#REF!</definedName>
    <definedName name="Z_DC4BE57B_E9B6_4823_AAB5_0B4AD0A1C9F8_.wvu.FilterData" localSheetId="3" hidden="1">#REF!</definedName>
    <definedName name="Z_DC4BE57B_E9B6_4823_AAB5_0B4AD0A1C9F8_.wvu.FilterData" localSheetId="7" hidden="1">#REF!</definedName>
    <definedName name="Z_DC4BE57B_E9B6_4823_AAB5_0B4AD0A1C9F8_.wvu.FilterData" hidden="1">#REF!</definedName>
    <definedName name="Z_DD40B456_B833_4D7B_A3C9_47AA2D6A0830_.wvu.FilterData" localSheetId="3" hidden="1">#REF!</definedName>
    <definedName name="Z_DD40B456_B833_4D7B_A3C9_47AA2D6A0830_.wvu.FilterData" localSheetId="7" hidden="1">#REF!</definedName>
    <definedName name="Z_DD40B456_B833_4D7B_A3C9_47AA2D6A0830_.wvu.FilterData" hidden="1">#REF!</definedName>
    <definedName name="Z_DDC9046D_2716_4CA3_9471_7091058B3C12_.wvu.FilterData" localSheetId="3" hidden="1">#REF!</definedName>
    <definedName name="Z_DDC9046D_2716_4CA3_9471_7091058B3C12_.wvu.FilterData" localSheetId="7" hidden="1">#REF!</definedName>
    <definedName name="Z_DDC9046D_2716_4CA3_9471_7091058B3C12_.wvu.FilterData" hidden="1">#REF!</definedName>
    <definedName name="Z_DF3B204A_F509_4DA0_BCB7_F89536B5FEBF_.wvu.FilterData" localSheetId="3" hidden="1">#REF!</definedName>
    <definedName name="Z_DF3B204A_F509_4DA0_BCB7_F89536B5FEBF_.wvu.FilterData" localSheetId="7" hidden="1">#REF!</definedName>
    <definedName name="Z_DF3B204A_F509_4DA0_BCB7_F89536B5FEBF_.wvu.FilterData" hidden="1">#REF!</definedName>
    <definedName name="Z_E3FFE9E0_6C4F_4FB4_A56E_FBE96871B5C8_.wvu.Cols" hidden="1">[24]Jurídico!$D$1:$D$65536,[24]Jurídico!$F$1:$K$65536</definedName>
    <definedName name="Z_E491B72F_902A_11D7_9C1E_0004231B06E7_.wvu.FilterData" localSheetId="3" hidden="1">#REF!</definedName>
    <definedName name="Z_E491B72F_902A_11D7_9C1E_0004231B06E7_.wvu.FilterData" localSheetId="6" hidden="1">#REF!</definedName>
    <definedName name="Z_E491B72F_902A_11D7_9C1E_0004231B06E7_.wvu.FilterData" localSheetId="7" hidden="1">#REF!</definedName>
    <definedName name="Z_E491B72F_902A_11D7_9C1E_0004231B06E7_.wvu.FilterData" localSheetId="10" hidden="1">#REF!</definedName>
    <definedName name="Z_E491B72F_902A_11D7_9C1E_0004231B06E7_.wvu.FilterData" localSheetId="11" hidden="1">#REF!</definedName>
    <definedName name="Z_E491B72F_902A_11D7_9C1E_0004231B06E7_.wvu.FilterData" hidden="1">#REF!</definedName>
    <definedName name="Z_E491B77E_902A_11D7_9C1E_0004231B06E7_.wvu.FilterData" localSheetId="3" hidden="1">#REF!</definedName>
    <definedName name="Z_E491B77E_902A_11D7_9C1E_0004231B06E7_.wvu.FilterData" localSheetId="6" hidden="1">#REF!</definedName>
    <definedName name="Z_E491B77E_902A_11D7_9C1E_0004231B06E7_.wvu.FilterData" localSheetId="7" hidden="1">#REF!</definedName>
    <definedName name="Z_E491B77E_902A_11D7_9C1E_0004231B06E7_.wvu.FilterData" localSheetId="10" hidden="1">#REF!</definedName>
    <definedName name="Z_E491B77E_902A_11D7_9C1E_0004231B06E7_.wvu.FilterData" hidden="1">#REF!</definedName>
    <definedName name="Z_E4A534A8_CD89_4423_9F3F_8134353F3CAC_.wvu.FilterData" localSheetId="3" hidden="1">#REF!</definedName>
    <definedName name="Z_E4A534A8_CD89_4423_9F3F_8134353F3CAC_.wvu.FilterData" localSheetId="7" hidden="1">#REF!</definedName>
    <definedName name="Z_E4A534A8_CD89_4423_9F3F_8134353F3CAC_.wvu.FilterData" localSheetId="10" hidden="1">#REF!</definedName>
    <definedName name="Z_E4A534A8_CD89_4423_9F3F_8134353F3CAC_.wvu.FilterData" hidden="1">#REF!</definedName>
    <definedName name="Z_E4E1532E_DC25_47E7_8CAC_8E70342889F1_.wvu.FilterData" localSheetId="3" hidden="1">#REF!</definedName>
    <definedName name="Z_E4E1532E_DC25_47E7_8CAC_8E70342889F1_.wvu.FilterData" localSheetId="7" hidden="1">#REF!</definedName>
    <definedName name="Z_E4E1532E_DC25_47E7_8CAC_8E70342889F1_.wvu.FilterData" hidden="1">#REF!</definedName>
    <definedName name="Z_E74731A0_5CEF_4B97_AFDD_B1DCA3953478_.wvu.FilterData" localSheetId="3" hidden="1">#REF!</definedName>
    <definedName name="Z_E74731A0_5CEF_4B97_AFDD_B1DCA3953478_.wvu.FilterData" localSheetId="7" hidden="1">#REF!</definedName>
    <definedName name="Z_E74731A0_5CEF_4B97_AFDD_B1DCA3953478_.wvu.FilterData" hidden="1">#REF!</definedName>
    <definedName name="Z_E7582842_0D7F_4174_A223_2AB1DD8C9047_.wvu.FilterData" localSheetId="3" hidden="1">#REF!</definedName>
    <definedName name="Z_E7582842_0D7F_4174_A223_2AB1DD8C9047_.wvu.FilterData" localSheetId="7" hidden="1">#REF!</definedName>
    <definedName name="Z_E7582842_0D7F_4174_A223_2AB1DD8C9047_.wvu.FilterData" hidden="1">#REF!</definedName>
    <definedName name="Z_E7E3B215_0D2B_424B_B9A9_091ABF42A9B2_.wvu.FilterData" localSheetId="3" hidden="1">#REF!</definedName>
    <definedName name="Z_E7E3B215_0D2B_424B_B9A9_091ABF42A9B2_.wvu.FilterData" localSheetId="7" hidden="1">#REF!</definedName>
    <definedName name="Z_E7E3B215_0D2B_424B_B9A9_091ABF42A9B2_.wvu.FilterData" hidden="1">#REF!</definedName>
    <definedName name="Z_E833D806_B408_4951_8EA0_84873DD98CC6_.wvu.FilterData" localSheetId="3" hidden="1">#REF!</definedName>
    <definedName name="Z_E833D806_B408_4951_8EA0_84873DD98CC6_.wvu.FilterData" localSheetId="7" hidden="1">#REF!</definedName>
    <definedName name="Z_E833D806_B408_4951_8EA0_84873DD98CC6_.wvu.FilterData" hidden="1">#REF!</definedName>
    <definedName name="Z_E84FA520_D8B7_472A_9913_1B62E15D532D_.wvu.FilterData" localSheetId="3" hidden="1">#REF!</definedName>
    <definedName name="Z_E84FA520_D8B7_472A_9913_1B62E15D532D_.wvu.FilterData" localSheetId="7" hidden="1">#REF!</definedName>
    <definedName name="Z_E84FA520_D8B7_472A_9913_1B62E15D532D_.wvu.FilterData" hidden="1">#REF!</definedName>
    <definedName name="Z_E856A7FB_F0DE_4CE8_85BE_FBD78193AF0B_.wvu.FilterData" localSheetId="3" hidden="1">#REF!</definedName>
    <definedName name="Z_E856A7FB_F0DE_4CE8_85BE_FBD78193AF0B_.wvu.FilterData" localSheetId="7" hidden="1">#REF!</definedName>
    <definedName name="Z_E856A7FB_F0DE_4CE8_85BE_FBD78193AF0B_.wvu.FilterData" hidden="1">#REF!</definedName>
    <definedName name="Z_E8B81FC8_C17A_451A_B505_641DE5886245_.wvu.FilterData" localSheetId="3" hidden="1">#REF!</definedName>
    <definedName name="Z_E8B81FC8_C17A_451A_B505_641DE5886245_.wvu.FilterData" localSheetId="7" hidden="1">#REF!</definedName>
    <definedName name="Z_E8B81FC8_C17A_451A_B505_641DE5886245_.wvu.FilterData" hidden="1">#REF!</definedName>
    <definedName name="Z_EA900FC6_5EC3_4E18_9ED9_37FAC8862A4C_.wvu.FilterData" localSheetId="3" hidden="1">#REF!</definedName>
    <definedName name="Z_EA900FC6_5EC3_4E18_9ED9_37FAC8862A4C_.wvu.FilterData" localSheetId="7" hidden="1">#REF!</definedName>
    <definedName name="Z_EA900FC6_5EC3_4E18_9ED9_37FAC8862A4C_.wvu.FilterData" hidden="1">#REF!</definedName>
    <definedName name="Z_EC12F0CE_807C_4CF2_B52D_1E5945238C05_.wvu.FilterData" localSheetId="3" hidden="1">#REF!</definedName>
    <definedName name="Z_EC12F0CE_807C_4CF2_B52D_1E5945238C05_.wvu.FilterData" localSheetId="7" hidden="1">#REF!</definedName>
    <definedName name="Z_EC12F0CE_807C_4CF2_B52D_1E5945238C05_.wvu.FilterData" hidden="1">#REF!</definedName>
    <definedName name="Z_EC74CDC8_4C91_4C55_BE9F_24DF0A9793FF_.wvu.FilterData" localSheetId="3" hidden="1">#REF!</definedName>
    <definedName name="Z_EC74CDC8_4C91_4C55_BE9F_24DF0A9793FF_.wvu.FilterData" localSheetId="7" hidden="1">#REF!</definedName>
    <definedName name="Z_EC74CDC8_4C91_4C55_BE9F_24DF0A9793FF_.wvu.FilterData" hidden="1">#REF!</definedName>
    <definedName name="Z_ED3E33DB_FBFA_4FDE_929F_AD12074101A3_.wvu.FilterData" localSheetId="3" hidden="1">#REF!</definedName>
    <definedName name="Z_ED3E33DB_FBFA_4FDE_929F_AD12074101A3_.wvu.FilterData" localSheetId="7" hidden="1">#REF!</definedName>
    <definedName name="Z_ED3E33DB_FBFA_4FDE_929F_AD12074101A3_.wvu.FilterData" hidden="1">#REF!</definedName>
    <definedName name="Z_EE21DFC7_81AA_40DA_B313_9BC83DA41DD6_.wvu.FilterData" localSheetId="3" hidden="1">#REF!</definedName>
    <definedName name="Z_EE21DFC7_81AA_40DA_B313_9BC83DA41DD6_.wvu.FilterData" localSheetId="7" hidden="1">#REF!</definedName>
    <definedName name="Z_EE21DFC7_81AA_40DA_B313_9BC83DA41DD6_.wvu.FilterData" hidden="1">#REF!</definedName>
    <definedName name="Z_EE5311D7_3149_40F1_82F5_7EEC6ACB6C85_.wvu.FilterData" localSheetId="3" hidden="1">#REF!</definedName>
    <definedName name="Z_EE5311D7_3149_40F1_82F5_7EEC6ACB6C85_.wvu.FilterData" localSheetId="7" hidden="1">#REF!</definedName>
    <definedName name="Z_EE5311D7_3149_40F1_82F5_7EEC6ACB6C85_.wvu.FilterData" hidden="1">#REF!</definedName>
    <definedName name="Z_EEE8CD21_C3A5_4786_B8BE_B9E68F0A5347_.wvu.FilterData" localSheetId="3" hidden="1">#REF!</definedName>
    <definedName name="Z_EEE8CD21_C3A5_4786_B8BE_B9E68F0A5347_.wvu.FilterData" localSheetId="7" hidden="1">#REF!</definedName>
    <definedName name="Z_EEE8CD21_C3A5_4786_B8BE_B9E68F0A5347_.wvu.FilterData" hidden="1">#REF!</definedName>
    <definedName name="Z_F0522591_4E2E_4AD6_B99B_B69551272A68_.wvu.FilterData" localSheetId="3" hidden="1">#REF!</definedName>
    <definedName name="Z_F0522591_4E2E_4AD6_B99B_B69551272A68_.wvu.FilterData" localSheetId="7" hidden="1">#REF!</definedName>
    <definedName name="Z_F0522591_4E2E_4AD6_B99B_B69551272A68_.wvu.FilterData" hidden="1">#REF!</definedName>
    <definedName name="Z_F1326E0B_5376_4D6E_9BC8_214AA525DE83_.wvu.FilterData" localSheetId="3" hidden="1">#REF!</definedName>
    <definedName name="Z_F1326E0B_5376_4D6E_9BC8_214AA525DE83_.wvu.FilterData" localSheetId="7" hidden="1">#REF!</definedName>
    <definedName name="Z_F1326E0B_5376_4D6E_9BC8_214AA525DE83_.wvu.FilterData" hidden="1">#REF!</definedName>
    <definedName name="Z_F300E2D5_C458_4E4B_AB71_FF06367EF684_.wvu.FilterData" localSheetId="3" hidden="1">#REF!</definedName>
    <definedName name="Z_F300E2D5_C458_4E4B_AB71_FF06367EF684_.wvu.FilterData" localSheetId="7" hidden="1">#REF!</definedName>
    <definedName name="Z_F300E2D5_C458_4E4B_AB71_FF06367EF684_.wvu.FilterData" hidden="1">#REF!</definedName>
    <definedName name="Z_F3F443DB_8EE1_48F9_9BF4_EAF21EDD719F_.wvu.FilterData" localSheetId="3" hidden="1">#REF!</definedName>
    <definedName name="Z_F3F443DB_8EE1_48F9_9BF4_EAF21EDD719F_.wvu.FilterData" localSheetId="7" hidden="1">#REF!</definedName>
    <definedName name="Z_F3F443DB_8EE1_48F9_9BF4_EAF21EDD719F_.wvu.FilterData" hidden="1">#REF!</definedName>
    <definedName name="Z_F6923408_DB58_4A59_8717_D0133A922204_.wvu.FilterData" localSheetId="3" hidden="1">#REF!</definedName>
    <definedName name="Z_F6923408_DB58_4A59_8717_D0133A922204_.wvu.FilterData" localSheetId="7" hidden="1">#REF!</definedName>
    <definedName name="Z_F6923408_DB58_4A59_8717_D0133A922204_.wvu.FilterData" hidden="1">#REF!</definedName>
    <definedName name="Z_F9CB3A99_6D24_412C_93C4_575819594890_.wvu.FilterData" localSheetId="3" hidden="1">#REF!</definedName>
    <definedName name="Z_F9CB3A99_6D24_412C_93C4_575819594890_.wvu.FilterData" localSheetId="7" hidden="1">#REF!</definedName>
    <definedName name="Z_F9CB3A99_6D24_412C_93C4_575819594890_.wvu.FilterData" hidden="1">#REF!</definedName>
    <definedName name="Z_FA40CB26_17FE_4901_96A4_2176E8FA5EEE_.wvu.FilterData" localSheetId="3" hidden="1">#REF!</definedName>
    <definedName name="Z_FA40CB26_17FE_4901_96A4_2176E8FA5EEE_.wvu.FilterData" localSheetId="7" hidden="1">#REF!</definedName>
    <definedName name="Z_FA40CB26_17FE_4901_96A4_2176E8FA5EEE_.wvu.FilterData" hidden="1">#REF!</definedName>
    <definedName name="Z_FC4D1412_4B52_4393_A184_1BAD70B9C231_.wvu.FilterData" localSheetId="3" hidden="1">#REF!</definedName>
    <definedName name="Z_FC4D1412_4B52_4393_A184_1BAD70B9C231_.wvu.FilterData" localSheetId="7" hidden="1">#REF!</definedName>
    <definedName name="Z_FC4D1412_4B52_4393_A184_1BAD70B9C231_.wvu.FilterData" hidden="1">#REF!</definedName>
    <definedName name="Z_FD259A29_AD61_4284_9BC7_5C3B20DD002B_.wvu.FilterData" localSheetId="3" hidden="1">#REF!</definedName>
    <definedName name="Z_FD259A29_AD61_4284_9BC7_5C3B20DD002B_.wvu.FilterData" localSheetId="7" hidden="1">#REF!</definedName>
    <definedName name="Z_FD259A29_AD61_4284_9BC7_5C3B20DD002B_.wvu.FilterData" hidden="1">#REF!</definedName>
    <definedName name="Z_FDFF93A6_D487_497C_8FA1_B8636451E74C_.wvu.FilterData" localSheetId="3" hidden="1">#REF!</definedName>
    <definedName name="Z_FDFF93A6_D487_497C_8FA1_B8636451E74C_.wvu.FilterData" localSheetId="7" hidden="1">#REF!</definedName>
    <definedName name="Z_FDFF93A6_D487_497C_8FA1_B8636451E74C_.wvu.FilterData" hidden="1">#REF!</definedName>
    <definedName name="Z_FE37516D_56E4_424C_8DE6_6B2719F76EF4_.wvu.FilterData" localSheetId="3" hidden="1">#REF!</definedName>
    <definedName name="Z_FE37516D_56E4_424C_8DE6_6B2719F76EF4_.wvu.FilterData" localSheetId="7" hidden="1">#REF!</definedName>
    <definedName name="Z_FE37516D_56E4_424C_8DE6_6B2719F76EF4_.wvu.FilterData" hidden="1">#REF!</definedName>
    <definedName name="Z_FEBB3479_FB57_4CDC_BCCD_5D8B83257FC7_.wvu.FilterData" localSheetId="3" hidden="1">#REF!</definedName>
    <definedName name="Z_FEBB3479_FB57_4CDC_BCCD_5D8B83257FC7_.wvu.FilterData" localSheetId="7" hidden="1">#REF!</definedName>
    <definedName name="Z_FEBB3479_FB57_4CDC_BCCD_5D8B83257FC7_.wvu.FilterData" hidden="1">#REF!</definedName>
    <definedName name="ZDA\DS" localSheetId="3" hidden="1">{"'gráf jan00'!$A$1:$AK$41"}</definedName>
    <definedName name="ZDA\DS" localSheetId="6" hidden="1">{"'gráf jan00'!$A$1:$AK$41"}</definedName>
    <definedName name="ZDA\DS" localSheetId="7" hidden="1">{"'gráf jan00'!$A$1:$AK$41"}</definedName>
    <definedName name="ZDA\DS" localSheetId="10" hidden="1">{"'gráf jan00'!$A$1:$AK$41"}</definedName>
    <definedName name="ZDA\DS" localSheetId="11" hidden="1">{"'gráf jan00'!$A$1:$AK$41"}</definedName>
    <definedName name="ZDA\DS" localSheetId="5" hidden="1">{"'gráf jan00'!$A$1:$AK$41"}</definedName>
    <definedName name="ZDA\DS" localSheetId="4" hidden="1">{"'gráf jan00'!$A$1:$AK$41"}</definedName>
    <definedName name="ZDA\DS" hidden="1">{"'gráf jan00'!$A$1:$AK$41"}</definedName>
    <definedName name="zgfd" localSheetId="3" hidden="1">{"'gráf jan00'!$A$1:$AK$41"}</definedName>
    <definedName name="zgfd" localSheetId="6" hidden="1">{"'gráf jan00'!$A$1:$AK$41"}</definedName>
    <definedName name="zgfd" localSheetId="7" hidden="1">{"'gráf jan00'!$A$1:$AK$41"}</definedName>
    <definedName name="zgfd" localSheetId="10" hidden="1">{"'gráf jan00'!$A$1:$AK$41"}</definedName>
    <definedName name="zgfd" localSheetId="11" hidden="1">{"'gráf jan00'!$A$1:$AK$41"}</definedName>
    <definedName name="zgfd" localSheetId="5" hidden="1">{"'gráf jan00'!$A$1:$AK$41"}</definedName>
    <definedName name="zgfd" localSheetId="4" hidden="1">{"'gráf jan00'!$A$1:$AK$41"}</definedName>
    <definedName name="zgfd" hidden="1">{"'gráf jan00'!$A$1:$AK$41"}</definedName>
    <definedName name="zx" localSheetId="3" hidden="1">{"Pèrdues i Guanys analític.Català",#N/A,FALSE,"Català";"Pèrdues i G. analític.castellà",#N/A,FALSE,"Castellà"}</definedName>
    <definedName name="zx" localSheetId="6" hidden="1">{"Pèrdues i Guanys analític.Català",#N/A,FALSE,"Català";"Pèrdues i G. analític.castellà",#N/A,FALSE,"Castellà"}</definedName>
    <definedName name="zx" localSheetId="7" hidden="1">{"Pèrdues i Guanys analític.Català",#N/A,FALSE,"Català";"Pèrdues i G. analític.castellà",#N/A,FALSE,"Castellà"}</definedName>
    <definedName name="zx" localSheetId="10" hidden="1">{"Pèrdues i Guanys analític.Català",#N/A,FALSE,"Català";"Pèrdues i G. analític.castellà",#N/A,FALSE,"Castellà"}</definedName>
    <definedName name="zx" localSheetId="11" hidden="1">{"Pèrdues i Guanys analític.Català",#N/A,FALSE,"Català";"Pèrdues i G. analític.castellà",#N/A,FALSE,"Castellà"}</definedName>
    <definedName name="zx" localSheetId="5" hidden="1">{"Pèrdues i Guanys analític.Català",#N/A,FALSE,"Català";"Pèrdues i G. analític.castellà",#N/A,FALSE,"Castellà"}</definedName>
    <definedName name="zx" localSheetId="4" hidden="1">{"Pèrdues i Guanys analític.Català",#N/A,FALSE,"Català";"Pèrdues i G. analític.castellà",#N/A,FALSE,"Castellà"}</definedName>
    <definedName name="zx" hidden="1">{"Pèrdues i Guanys analític.Català",#N/A,FALSE,"Català";"Pèrdues i G. analític.castellà",#N/A,FALSE,"Castellà"}</definedName>
    <definedName name="zz" localSheetId="3" hidden="1">{"Pèrdues i Guanys analític.Català",#N/A,FALSE,"Català";"Pèrdues i G. analític.castellà",#N/A,FALSE,"Castellà"}</definedName>
    <definedName name="zz" localSheetId="6" hidden="1">{"Pèrdues i Guanys analític.Català",#N/A,FALSE,"Català";"Pèrdues i G. analític.castellà",#N/A,FALSE,"Castellà"}</definedName>
    <definedName name="zz" localSheetId="7" hidden="1">{"Pèrdues i Guanys analític.Català",#N/A,FALSE,"Català";"Pèrdues i G. analític.castellà",#N/A,FALSE,"Castellà"}</definedName>
    <definedName name="zz" localSheetId="10" hidden="1">{"Pèrdues i Guanys analític.Català",#N/A,FALSE,"Català";"Pèrdues i G. analític.castellà",#N/A,FALSE,"Castellà"}</definedName>
    <definedName name="zz" localSheetId="11" hidden="1">{"Pèrdues i Guanys analític.Català",#N/A,FALSE,"Català";"Pèrdues i G. analític.castellà",#N/A,FALSE,"Castellà"}</definedName>
    <definedName name="zz" localSheetId="5" hidden="1">{"Pèrdues i Guanys analític.Català",#N/A,FALSE,"Català";"Pèrdues i G. analític.castellà",#N/A,FALSE,"Castellà"}</definedName>
    <definedName name="zz" localSheetId="4" hidden="1">{"Pèrdues i Guanys analític.Català",#N/A,FALSE,"Català";"Pèrdues i G. analític.castellà",#N/A,FALSE,"Castellà"}</definedName>
    <definedName name="zz" hidden="1">{"Pèrdues i Guanys analític.Català",#N/A,FALSE,"Català";"Pèrdues i G. analític.castellà",#N/A,FALSE,"Castellà"}</definedName>
    <definedName name="zzz" localSheetId="3" hidden="1">{#N/A,#N/A,FALSE,"QD_F1 Invest Detalhado";#N/A,#N/A,FALSE,"QD_F3 Invest_Comparado";#N/A,#N/A,FALSE,"QD_B Trafego";#N/A,#N/A,FALSE,"QD_D0 Custos Operacionais";#N/A,#N/A,FALSE,"QD_C Receita";#N/A,#N/A,FALSE,"QD_D Custos";#N/A,#N/A,FALSE,"QD_E Resultado";#N/A,#N/A,FALSE,"QD_G Fluxo Caixa"}</definedName>
    <definedName name="zzz" localSheetId="6" hidden="1">{#N/A,#N/A,FALSE,"QD_F1 Invest Detalhado";#N/A,#N/A,FALSE,"QD_F3 Invest_Comparado";#N/A,#N/A,FALSE,"QD_B Trafego";#N/A,#N/A,FALSE,"QD_D0 Custos Operacionais";#N/A,#N/A,FALSE,"QD_C Receita";#N/A,#N/A,FALSE,"QD_D Custos";#N/A,#N/A,FALSE,"QD_E Resultado";#N/A,#N/A,FALSE,"QD_G Fluxo Caixa"}</definedName>
    <definedName name="zzz" localSheetId="7" hidden="1">{#N/A,#N/A,FALSE,"QD_F1 Invest Detalhado";#N/A,#N/A,FALSE,"QD_F3 Invest_Comparado";#N/A,#N/A,FALSE,"QD_B Trafego";#N/A,#N/A,FALSE,"QD_D0 Custos Operacionais";#N/A,#N/A,FALSE,"QD_C Receita";#N/A,#N/A,FALSE,"QD_D Custos";#N/A,#N/A,FALSE,"QD_E Resultado";#N/A,#N/A,FALSE,"QD_G Fluxo Caixa"}</definedName>
    <definedName name="zzz" localSheetId="10" hidden="1">{#N/A,#N/A,FALSE,"QD_F1 Invest Detalhado";#N/A,#N/A,FALSE,"QD_F3 Invest_Comparado";#N/A,#N/A,FALSE,"QD_B Trafego";#N/A,#N/A,FALSE,"QD_D0 Custos Operacionais";#N/A,#N/A,FALSE,"QD_C Receita";#N/A,#N/A,FALSE,"QD_D Custos";#N/A,#N/A,FALSE,"QD_E Resultado";#N/A,#N/A,FALSE,"QD_G Fluxo Caixa"}</definedName>
    <definedName name="zzz" localSheetId="11" hidden="1">{#N/A,#N/A,FALSE,"QD_F1 Invest Detalhado";#N/A,#N/A,FALSE,"QD_F3 Invest_Comparado";#N/A,#N/A,FALSE,"QD_B Trafego";#N/A,#N/A,FALSE,"QD_D0 Custos Operacionais";#N/A,#N/A,FALSE,"QD_C Receita";#N/A,#N/A,FALSE,"QD_D Custos";#N/A,#N/A,FALSE,"QD_E Resultado";#N/A,#N/A,FALSE,"QD_G Fluxo Caixa"}</definedName>
    <definedName name="zzz" localSheetId="5" hidden="1">{#N/A,#N/A,FALSE,"QD_F1 Invest Detalhado";#N/A,#N/A,FALSE,"QD_F3 Invest_Comparado";#N/A,#N/A,FALSE,"QD_B Trafego";#N/A,#N/A,FALSE,"QD_D0 Custos Operacionais";#N/A,#N/A,FALSE,"QD_C Receita";#N/A,#N/A,FALSE,"QD_D Custos";#N/A,#N/A,FALSE,"QD_E Resultado";#N/A,#N/A,FALSE,"QD_G Fluxo Caixa"}</definedName>
    <definedName name="zzz" localSheetId="4" hidden="1">{#N/A,#N/A,FALSE,"QD_F1 Invest Detalhado";#N/A,#N/A,FALSE,"QD_F3 Invest_Comparado";#N/A,#N/A,FALSE,"QD_B Trafego";#N/A,#N/A,FALSE,"QD_D0 Custos Operacionais";#N/A,#N/A,FALSE,"QD_C Receita";#N/A,#N/A,FALSE,"QD_D Custos";#N/A,#N/A,FALSE,"QD_E Resultado";#N/A,#N/A,FALSE,"QD_G Fluxo Caixa"}</definedName>
    <definedName name="zzz" localSheetId="1" hidden="1">{#N/A,#N/A,FALSE,"QD_F1 Invest Detalhado";#N/A,#N/A,FALSE,"QD_F3 Invest_Comparado";#N/A,#N/A,FALSE,"QD_B Trafego";#N/A,#N/A,FALSE,"QD_D0 Custos Operacionais";#N/A,#N/A,FALSE,"QD_C Receita";#N/A,#N/A,FALSE,"QD_D Custos";#N/A,#N/A,FALSE,"QD_E Resultado";#N/A,#N/A,FALSE,"QD_G Fluxo Caixa"}</definedName>
    <definedName name="zzz" localSheetId="2" hidden="1">{#N/A,#N/A,FALSE,"QD_F1 Invest Detalhado";#N/A,#N/A,FALSE,"QD_F3 Invest_Comparado";#N/A,#N/A,FALSE,"QD_B Trafego";#N/A,#N/A,FALSE,"QD_D0 Custos Operacionais";#N/A,#N/A,FALSE,"QD_C Receita";#N/A,#N/A,FALSE,"QD_D Custos";#N/A,#N/A,FALSE,"QD_E Resultado";#N/A,#N/A,FALSE,"QD_G Fluxo Caixa"}</definedName>
    <definedName name="zzz" hidden="1">{#N/A,#N/A,FALSE,"QD_F1 Invest Detalhado";#N/A,#N/A,FALSE,"QD_F3 Invest_Comparado";#N/A,#N/A,FALSE,"QD_B Trafego";#N/A,#N/A,FALSE,"QD_D0 Custos Operacionais";#N/A,#N/A,FALSE,"QD_C Receita";#N/A,#N/A,FALSE,"QD_D Custos";#N/A,#N/A,FALSE,"QD_E Resultado";#N/A,#N/A,FALSE,"QD_G Fluxo Caixa"}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9" i="97" l="1"/>
  <c r="E59" i="97"/>
  <c r="M13" i="128"/>
  <c r="L13" i="128"/>
  <c r="M8" i="127"/>
  <c r="N8" i="127"/>
  <c r="O8" i="127"/>
  <c r="P8" i="127"/>
  <c r="Q8" i="127"/>
  <c r="R8" i="127"/>
  <c r="S8" i="127"/>
  <c r="T8" i="127"/>
  <c r="U8" i="127"/>
  <c r="V8" i="127"/>
  <c r="W8" i="127"/>
  <c r="X8" i="127"/>
  <c r="Y8" i="127"/>
  <c r="Z8" i="127"/>
  <c r="AA8" i="127"/>
  <c r="AB8" i="127"/>
  <c r="AC8" i="127"/>
  <c r="AD8" i="127"/>
  <c r="AE8" i="127"/>
  <c r="AF8" i="127"/>
  <c r="AG8" i="127"/>
  <c r="AH8" i="127"/>
  <c r="AI8" i="127"/>
  <c r="L8" i="127"/>
  <c r="AI7" i="127"/>
  <c r="AF7" i="127"/>
  <c r="AC7" i="127"/>
  <c r="Z7" i="127"/>
  <c r="W7" i="127"/>
  <c r="T7" i="127"/>
  <c r="Q7" i="127"/>
  <c r="N7" i="127"/>
  <c r="E16" i="122"/>
  <c r="D14" i="122"/>
  <c r="G142" i="123"/>
  <c r="C4" i="130"/>
  <c r="C5" i="130"/>
  <c r="C7" i="130"/>
  <c r="C3" i="130"/>
  <c r="N13" i="128"/>
  <c r="O13" i="128"/>
  <c r="P13" i="128"/>
  <c r="Q13" i="128"/>
  <c r="R13" i="128"/>
  <c r="S13" i="128"/>
  <c r="T13" i="128"/>
  <c r="U13" i="128"/>
  <c r="V13" i="128"/>
  <c r="W13" i="128"/>
  <c r="X13" i="128"/>
  <c r="Y13" i="128"/>
  <c r="Z13" i="128"/>
  <c r="AA13" i="128"/>
  <c r="AB13" i="128"/>
  <c r="AC13" i="128"/>
  <c r="AD13" i="128"/>
  <c r="AE13" i="128"/>
  <c r="AF13" i="128"/>
  <c r="AG13" i="128"/>
  <c r="AH13" i="128"/>
  <c r="AI13" i="128"/>
  <c r="D79" i="123"/>
  <c r="K37" i="123"/>
  <c r="K22" i="123"/>
  <c r="E56" i="123"/>
  <c r="E54" i="123"/>
  <c r="E53" i="123"/>
  <c r="E50" i="123"/>
  <c r="E49" i="123"/>
  <c r="E30" i="123"/>
  <c r="G140" i="123"/>
  <c r="C170" i="121"/>
  <c r="A170" i="121"/>
  <c r="D55" i="97"/>
  <c r="H184" i="121" l="1"/>
  <c r="H174" i="121"/>
  <c r="E94" i="121"/>
  <c r="E93" i="121"/>
  <c r="E92" i="121"/>
  <c r="E91" i="121"/>
  <c r="E90" i="121"/>
  <c r="E87" i="121"/>
  <c r="E86" i="121"/>
  <c r="E85" i="121"/>
  <c r="K15" i="118"/>
  <c r="G342" i="118"/>
  <c r="G310" i="118"/>
  <c r="D311" i="118"/>
  <c r="G309" i="118"/>
  <c r="E304" i="118"/>
  <c r="D304" i="118"/>
  <c r="E300" i="118"/>
  <c r="E298" i="118"/>
  <c r="E163" i="118"/>
  <c r="G162" i="118"/>
  <c r="E160" i="118"/>
  <c r="E159" i="118"/>
  <c r="E156" i="118"/>
  <c r="E155" i="118"/>
  <c r="E152" i="118"/>
  <c r="E151" i="118"/>
  <c r="E150" i="118"/>
  <c r="E145" i="118"/>
  <c r="G143" i="118"/>
  <c r="E141" i="118"/>
  <c r="E142" i="118"/>
  <c r="E138" i="118"/>
  <c r="E137" i="118"/>
  <c r="E135" i="118"/>
  <c r="E134" i="118"/>
  <c r="E133" i="118"/>
  <c r="E132" i="118"/>
  <c r="G164" i="118"/>
  <c r="G163" i="118"/>
  <c r="H162" i="118"/>
  <c r="G161" i="118"/>
  <c r="G160" i="118"/>
  <c r="D160" i="118"/>
  <c r="G159" i="118"/>
  <c r="D159" i="118"/>
  <c r="G156" i="118"/>
  <c r="D156" i="118"/>
  <c r="G155" i="118"/>
  <c r="D155" i="118"/>
  <c r="G153" i="118"/>
  <c r="D153" i="118"/>
  <c r="G152" i="118"/>
  <c r="D152" i="118"/>
  <c r="G151" i="118"/>
  <c r="D151" i="118"/>
  <c r="G150" i="118"/>
  <c r="D150" i="118"/>
  <c r="C129" i="118"/>
  <c r="A129" i="118"/>
  <c r="G146" i="118"/>
  <c r="G145" i="118"/>
  <c r="H144" i="118"/>
  <c r="G142" i="118"/>
  <c r="D142" i="118"/>
  <c r="G141" i="118"/>
  <c r="D141" i="118"/>
  <c r="G138" i="118"/>
  <c r="D138" i="118"/>
  <c r="G137" i="118"/>
  <c r="D137" i="118"/>
  <c r="H137" i="118" s="1"/>
  <c r="G135" i="118"/>
  <c r="D135" i="118"/>
  <c r="G134" i="118"/>
  <c r="D134" i="118"/>
  <c r="G133" i="118"/>
  <c r="D133" i="118"/>
  <c r="G132" i="118"/>
  <c r="D132" i="118"/>
  <c r="A3" i="118"/>
  <c r="C3" i="118"/>
  <c r="G6" i="118"/>
  <c r="D7" i="118"/>
  <c r="G7" i="118"/>
  <c r="D8" i="118"/>
  <c r="G8" i="118"/>
  <c r="D9" i="118"/>
  <c r="G9" i="118"/>
  <c r="H12" i="118"/>
  <c r="H13" i="118" s="1"/>
  <c r="G15" i="118"/>
  <c r="D27" i="97"/>
  <c r="D26" i="97"/>
  <c r="H14" i="129"/>
  <c r="Q37" i="129"/>
  <c r="G15" i="129" s="1"/>
  <c r="F14" i="129"/>
  <c r="E7" i="129"/>
  <c r="D7" i="129"/>
  <c r="F7" i="129" s="1"/>
  <c r="D8" i="129"/>
  <c r="D6" i="129"/>
  <c r="Q38" i="129"/>
  <c r="H15" i="129" s="1"/>
  <c r="Q36" i="129"/>
  <c r="F15" i="129" s="1"/>
  <c r="D24" i="97"/>
  <c r="E15" i="114"/>
  <c r="B7" i="114"/>
  <c r="E164" i="107"/>
  <c r="E62" i="107"/>
  <c r="K8" i="107"/>
  <c r="D69" i="107" s="1"/>
  <c r="D9" i="129"/>
  <c r="E9" i="129"/>
  <c r="Q8" i="129"/>
  <c r="E393" i="118"/>
  <c r="E110" i="118"/>
  <c r="E214" i="107"/>
  <c r="E215" i="107"/>
  <c r="E192" i="107"/>
  <c r="E172" i="107"/>
  <c r="E169" i="107"/>
  <c r="E168" i="107"/>
  <c r="E165" i="107"/>
  <c r="D164" i="107"/>
  <c r="E314" i="118"/>
  <c r="E307" i="118"/>
  <c r="E306" i="118"/>
  <c r="E301" i="118"/>
  <c r="K37" i="118"/>
  <c r="F263" i="118"/>
  <c r="G200" i="118"/>
  <c r="E18" i="107"/>
  <c r="E6" i="107"/>
  <c r="Q18" i="129"/>
  <c r="H150" i="118" l="1"/>
  <c r="H9" i="118"/>
  <c r="H151" i="118"/>
  <c r="D164" i="118"/>
  <c r="H133" i="118"/>
  <c r="H132" i="118"/>
  <c r="D146" i="118"/>
  <c r="I15" i="129"/>
  <c r="G7" i="129"/>
  <c r="H7" i="129" s="1"/>
  <c r="G14" i="129"/>
  <c r="I14" i="129" s="1"/>
  <c r="F9" i="129"/>
  <c r="G9" i="129" s="1"/>
  <c r="H9" i="129" s="1"/>
  <c r="D252" i="107"/>
  <c r="D251" i="107"/>
  <c r="D250" i="107"/>
  <c r="H249" i="107"/>
  <c r="D248" i="107"/>
  <c r="D247" i="107"/>
  <c r="D246" i="107"/>
  <c r="D245" i="107"/>
  <c r="D244" i="107"/>
  <c r="D243" i="107"/>
  <c r="D242" i="107"/>
  <c r="D241" i="107"/>
  <c r="D240" i="107"/>
  <c r="E251" i="107" l="1"/>
  <c r="D13" i="114"/>
  <c r="C52" i="91"/>
  <c r="D42" i="91"/>
  <c r="G65" i="125"/>
  <c r="G6" i="125"/>
  <c r="G358" i="118"/>
  <c r="D28" i="97" l="1"/>
  <c r="D14" i="114"/>
  <c r="B2" i="123"/>
  <c r="B39" i="123"/>
  <c r="G130" i="123"/>
  <c r="G136" i="123"/>
  <c r="E132" i="123"/>
  <c r="E130" i="123"/>
  <c r="E129" i="123"/>
  <c r="E128" i="123"/>
  <c r="E125" i="123"/>
  <c r="E124" i="123"/>
  <c r="E121" i="123"/>
  <c r="E120" i="123"/>
  <c r="C116" i="123"/>
  <c r="A116" i="123"/>
  <c r="G133" i="123"/>
  <c r="D132" i="123"/>
  <c r="H131" i="123"/>
  <c r="D129" i="123"/>
  <c r="D128" i="123"/>
  <c r="G125" i="123"/>
  <c r="G124" i="123"/>
  <c r="G122" i="123"/>
  <c r="H122" i="123" s="1"/>
  <c r="G121" i="123"/>
  <c r="G120" i="123"/>
  <c r="G119" i="123"/>
  <c r="H119" i="123" s="1"/>
  <c r="D69" i="118"/>
  <c r="K3" i="123"/>
  <c r="E133" i="123" s="1"/>
  <c r="E225" i="121"/>
  <c r="E219" i="121"/>
  <c r="E218" i="121"/>
  <c r="E6" i="121"/>
  <c r="D230" i="121"/>
  <c r="D229" i="121"/>
  <c r="D205" i="121"/>
  <c r="D204" i="121"/>
  <c r="D203" i="121"/>
  <c r="D139" i="121"/>
  <c r="D138" i="121"/>
  <c r="D158" i="121"/>
  <c r="D157" i="121"/>
  <c r="E142" i="121"/>
  <c r="E119" i="121"/>
  <c r="E95" i="121"/>
  <c r="E63" i="121"/>
  <c r="E43" i="121"/>
  <c r="E41" i="121"/>
  <c r="E18" i="121"/>
  <c r="K5" i="121"/>
  <c r="K7" i="118"/>
  <c r="K17" i="118"/>
  <c r="C1" i="121"/>
  <c r="C367" i="118"/>
  <c r="A367" i="118"/>
  <c r="C321" i="118"/>
  <c r="A321" i="118"/>
  <c r="C289" i="118"/>
  <c r="A289" i="118"/>
  <c r="C267" i="118"/>
  <c r="A267" i="118"/>
  <c r="C244" i="118"/>
  <c r="A244" i="118"/>
  <c r="C209" i="118"/>
  <c r="A209" i="118"/>
  <c r="C185" i="118"/>
  <c r="A185" i="118"/>
  <c r="C171" i="118"/>
  <c r="A171" i="118"/>
  <c r="C106" i="118"/>
  <c r="A106" i="118"/>
  <c r="C84" i="118"/>
  <c r="A84" i="118"/>
  <c r="C61" i="118"/>
  <c r="A61" i="118"/>
  <c r="C38" i="118"/>
  <c r="A38" i="118"/>
  <c r="A18" i="118"/>
  <c r="K141" i="118"/>
  <c r="K140" i="118"/>
  <c r="K139" i="118"/>
  <c r="D212" i="118"/>
  <c r="G212" i="118"/>
  <c r="G213" i="118"/>
  <c r="B214" i="118"/>
  <c r="G214" i="118" s="1"/>
  <c r="D215" i="118"/>
  <c r="G215" i="118"/>
  <c r="D216" i="118"/>
  <c r="G216" i="118"/>
  <c r="G218" i="118"/>
  <c r="B219" i="118"/>
  <c r="G219" i="118" s="1"/>
  <c r="G220" i="118"/>
  <c r="G226" i="118"/>
  <c r="H227" i="118"/>
  <c r="G229" i="118"/>
  <c r="B234" i="118"/>
  <c r="G234" i="118" s="1"/>
  <c r="D234" i="118"/>
  <c r="H237" i="118"/>
  <c r="H238" i="118" s="1"/>
  <c r="D54" i="118"/>
  <c r="D51" i="118"/>
  <c r="D50" i="118"/>
  <c r="D109" i="118"/>
  <c r="E109" i="118"/>
  <c r="G109" i="118"/>
  <c r="D110" i="118"/>
  <c r="G110" i="118"/>
  <c r="D111" i="118"/>
  <c r="G111" i="118"/>
  <c r="D112" i="118"/>
  <c r="G112" i="118"/>
  <c r="D114" i="118"/>
  <c r="G114" i="118"/>
  <c r="D115" i="118"/>
  <c r="D123" i="118" s="1"/>
  <c r="G115" i="118"/>
  <c r="D118" i="118"/>
  <c r="D119" i="118"/>
  <c r="G120" i="118"/>
  <c r="H121" i="118"/>
  <c r="G123" i="118"/>
  <c r="G203" i="118"/>
  <c r="H201" i="118"/>
  <c r="G199" i="118"/>
  <c r="G194" i="118"/>
  <c r="D194" i="118"/>
  <c r="D198" i="118" s="1"/>
  <c r="G193" i="118"/>
  <c r="D193" i="118"/>
  <c r="D202" i="118" s="1"/>
  <c r="G191" i="118"/>
  <c r="D191" i="118"/>
  <c r="G190" i="118"/>
  <c r="D190" i="118"/>
  <c r="G189" i="118"/>
  <c r="D189" i="118"/>
  <c r="G188" i="118"/>
  <c r="D188" i="118"/>
  <c r="D179" i="118"/>
  <c r="D178" i="118"/>
  <c r="D177" i="118"/>
  <c r="G179" i="118"/>
  <c r="G174" i="118"/>
  <c r="E275" i="118"/>
  <c r="G263" i="118"/>
  <c r="C18" i="118"/>
  <c r="K106" i="118"/>
  <c r="E92" i="118"/>
  <c r="K18" i="118"/>
  <c r="C1" i="118"/>
  <c r="A1" i="118"/>
  <c r="Q17" i="129"/>
  <c r="Q15" i="129"/>
  <c r="Q14" i="129"/>
  <c r="Q13" i="129"/>
  <c r="Q12" i="129"/>
  <c r="Q11" i="129"/>
  <c r="Q10" i="129"/>
  <c r="Q9" i="129"/>
  <c r="Q7" i="129"/>
  <c r="C14" i="114"/>
  <c r="E14" i="114" s="1"/>
  <c r="B1" i="112"/>
  <c r="A1" i="112"/>
  <c r="B3" i="112"/>
  <c r="G44" i="107"/>
  <c r="D47" i="107"/>
  <c r="D48" i="107"/>
  <c r="G48" i="107"/>
  <c r="D38" i="107"/>
  <c r="D37" i="107"/>
  <c r="G26" i="107"/>
  <c r="G27" i="107"/>
  <c r="G18" i="107"/>
  <c r="G275" i="107"/>
  <c r="D275" i="107"/>
  <c r="E274" i="107"/>
  <c r="E272" i="107"/>
  <c r="E271" i="107"/>
  <c r="E270" i="107"/>
  <c r="E267" i="107"/>
  <c r="E266" i="107"/>
  <c r="E265" i="107"/>
  <c r="E263" i="107"/>
  <c r="D230" i="107"/>
  <c r="G230" i="107"/>
  <c r="G203" i="107"/>
  <c r="D203" i="107"/>
  <c r="G173" i="107"/>
  <c r="E220" i="107"/>
  <c r="E213" i="107"/>
  <c r="D173" i="107"/>
  <c r="G123" i="107"/>
  <c r="G157" i="107"/>
  <c r="G112" i="107"/>
  <c r="G110" i="107"/>
  <c r="E111" i="107"/>
  <c r="E103" i="107"/>
  <c r="E102" i="107"/>
  <c r="E97" i="107"/>
  <c r="E96" i="107"/>
  <c r="E92" i="107"/>
  <c r="E91" i="107"/>
  <c r="K34" i="107"/>
  <c r="E105" i="107" s="1"/>
  <c r="G79" i="107"/>
  <c r="K11" i="107"/>
  <c r="E146" i="118" l="1"/>
  <c r="H146" i="118" s="1"/>
  <c r="E164" i="118"/>
  <c r="H164" i="118" s="1"/>
  <c r="E70" i="107"/>
  <c r="E69" i="107"/>
  <c r="E32" i="118"/>
  <c r="E313" i="118"/>
  <c r="H130" i="123"/>
  <c r="H124" i="123"/>
  <c r="H121" i="123"/>
  <c r="D133" i="123"/>
  <c r="H133" i="123" s="1"/>
  <c r="H120" i="123"/>
  <c r="H125" i="123"/>
  <c r="H215" i="118"/>
  <c r="H216" i="118"/>
  <c r="D197" i="118"/>
  <c r="E229" i="118"/>
  <c r="H109" i="118"/>
  <c r="H110" i="118"/>
  <c r="E123" i="118"/>
  <c r="H123" i="118" s="1"/>
  <c r="E203" i="118"/>
  <c r="D203" i="118"/>
  <c r="E179" i="118"/>
  <c r="E55" i="118"/>
  <c r="E379" i="118"/>
  <c r="E404" i="118"/>
  <c r="E339" i="118"/>
  <c r="E283" i="118"/>
  <c r="E360" i="118"/>
  <c r="E315" i="118"/>
  <c r="E260" i="118"/>
  <c r="E78" i="118"/>
  <c r="E100" i="118"/>
  <c r="Q19" i="129"/>
  <c r="E6" i="129" s="1"/>
  <c r="F6" i="129" s="1"/>
  <c r="Q20" i="129"/>
  <c r="E8" i="129" s="1"/>
  <c r="F8" i="129" s="1"/>
  <c r="H18" i="107"/>
  <c r="G116" i="107"/>
  <c r="D107" i="107"/>
  <c r="E98" i="107"/>
  <c r="E104" i="107"/>
  <c r="E109" i="107"/>
  <c r="D108" i="107"/>
  <c r="E99" i="107"/>
  <c r="E78" i="107"/>
  <c r="K38" i="107"/>
  <c r="E73" i="107"/>
  <c r="E74" i="107"/>
  <c r="H126" i="123" l="1"/>
  <c r="H203" i="118"/>
  <c r="H179" i="118"/>
  <c r="G8" i="129"/>
  <c r="H8" i="129" s="1"/>
  <c r="E67" i="107"/>
  <c r="E66" i="107"/>
  <c r="E65" i="107"/>
  <c r="E64" i="107"/>
  <c r="K6" i="107"/>
  <c r="E48" i="107" s="1"/>
  <c r="H48" i="107" s="1"/>
  <c r="G50" i="107"/>
  <c r="G46" i="107"/>
  <c r="G43" i="107"/>
  <c r="E49" i="107"/>
  <c r="E45" i="107"/>
  <c r="E42" i="107"/>
  <c r="D50" i="107"/>
  <c r="D49" i="107"/>
  <c r="D46" i="107"/>
  <c r="D45" i="107"/>
  <c r="D43" i="107"/>
  <c r="D42" i="107"/>
  <c r="D40" i="107"/>
  <c r="D35" i="107"/>
  <c r="D33" i="107"/>
  <c r="G25" i="107"/>
  <c r="H25" i="107" s="1"/>
  <c r="G23" i="107"/>
  <c r="H23" i="107" s="1"/>
  <c r="C256" i="107"/>
  <c r="A256" i="107"/>
  <c r="C238" i="107"/>
  <c r="A238" i="107"/>
  <c r="C210" i="107"/>
  <c r="A210" i="107"/>
  <c r="C181" i="107"/>
  <c r="A181" i="107"/>
  <c r="C154" i="107"/>
  <c r="A154" i="107"/>
  <c r="C137" i="107"/>
  <c r="A137" i="107"/>
  <c r="C120" i="107"/>
  <c r="A120" i="107"/>
  <c r="C87" i="107"/>
  <c r="A87" i="107"/>
  <c r="C58" i="107"/>
  <c r="A58" i="107"/>
  <c r="C3" i="107"/>
  <c r="A3" i="107"/>
  <c r="E127" i="107"/>
  <c r="G127" i="107"/>
  <c r="G126" i="107"/>
  <c r="G125" i="107"/>
  <c r="G124" i="107"/>
  <c r="H130" i="107"/>
  <c r="H131" i="107" s="1"/>
  <c r="G6" i="129" l="1"/>
  <c r="H6" i="129" s="1"/>
  <c r="E230" i="107"/>
  <c r="H230" i="107" s="1"/>
  <c r="E275" i="107"/>
  <c r="H275" i="107" s="1"/>
  <c r="E173" i="107"/>
  <c r="H173" i="107" s="1"/>
  <c r="E203" i="107"/>
  <c r="H203" i="107" s="1"/>
  <c r="E110" i="107"/>
  <c r="H110" i="107" s="1"/>
  <c r="E112" i="107"/>
  <c r="H112" i="107" s="1"/>
  <c r="E43" i="107"/>
  <c r="H43" i="107" s="1"/>
  <c r="E79" i="107"/>
  <c r="E46" i="107"/>
  <c r="H46" i="107" s="1"/>
  <c r="E50" i="107"/>
  <c r="H50" i="107" s="1"/>
  <c r="H125" i="107"/>
  <c r="H126" i="107"/>
  <c r="H124" i="107"/>
  <c r="H123" i="107"/>
  <c r="H127" i="107"/>
  <c r="H128" i="107" l="1"/>
  <c r="H133" i="107" s="1"/>
  <c r="H134" i="107" s="1"/>
  <c r="H120" i="107" s="1"/>
  <c r="D8" i="97" s="1"/>
  <c r="D111" i="107"/>
  <c r="D109" i="107"/>
  <c r="G108" i="107"/>
  <c r="G107" i="107"/>
  <c r="H106" i="107"/>
  <c r="D105" i="107"/>
  <c r="D104" i="107"/>
  <c r="D103" i="107"/>
  <c r="D102" i="107"/>
  <c r="G99" i="107"/>
  <c r="G98" i="107"/>
  <c r="G97" i="107"/>
  <c r="G96" i="107"/>
  <c r="G94" i="107"/>
  <c r="G93" i="107"/>
  <c r="G92" i="107"/>
  <c r="G91" i="107"/>
  <c r="G90" i="107"/>
  <c r="G77" i="107"/>
  <c r="H77" i="107" s="1"/>
  <c r="G76" i="107"/>
  <c r="H76" i="107" s="1"/>
  <c r="H75" i="107"/>
  <c r="G70" i="107"/>
  <c r="G69" i="107"/>
  <c r="G67" i="107"/>
  <c r="D67" i="107"/>
  <c r="G66" i="107"/>
  <c r="G65" i="107"/>
  <c r="G64" i="107"/>
  <c r="G63" i="107"/>
  <c r="G62" i="107"/>
  <c r="G61" i="107"/>
  <c r="H41" i="107"/>
  <c r="H32" i="107"/>
  <c r="G29" i="107"/>
  <c r="G28" i="107"/>
  <c r="D28" i="107"/>
  <c r="D39" i="107" s="1"/>
  <c r="G24" i="107"/>
  <c r="H24" i="107" s="1"/>
  <c r="G22" i="107"/>
  <c r="G20" i="107"/>
  <c r="D20" i="107"/>
  <c r="G19" i="107"/>
  <c r="D19" i="107"/>
  <c r="G17" i="107"/>
  <c r="D17" i="107"/>
  <c r="G16" i="107"/>
  <c r="D16" i="107"/>
  <c r="G15" i="107"/>
  <c r="G14" i="107"/>
  <c r="D14" i="107"/>
  <c r="G13" i="107"/>
  <c r="D13" i="107"/>
  <c r="G12" i="107"/>
  <c r="D12" i="107"/>
  <c r="G11" i="107"/>
  <c r="D11" i="107"/>
  <c r="G10" i="107"/>
  <c r="D10" i="107"/>
  <c r="G9" i="107"/>
  <c r="D9" i="107"/>
  <c r="G8" i="107"/>
  <c r="D8" i="107"/>
  <c r="G7" i="107"/>
  <c r="D7" i="107"/>
  <c r="G6" i="107"/>
  <c r="D6" i="107"/>
  <c r="K11" i="128" l="1"/>
  <c r="J11" i="128"/>
  <c r="H11" i="128"/>
  <c r="G11" i="128"/>
  <c r="I11" i="128"/>
  <c r="F11" i="128"/>
  <c r="H28" i="107"/>
  <c r="H29" i="107"/>
  <c r="H99" i="107"/>
  <c r="H98" i="107"/>
  <c r="H6" i="107"/>
  <c r="H10" i="107"/>
  <c r="H14" i="107"/>
  <c r="H17" i="107"/>
  <c r="H90" i="107"/>
  <c r="H107" i="107"/>
  <c r="H7" i="107"/>
  <c r="H11" i="107"/>
  <c r="H19" i="107"/>
  <c r="H108" i="107"/>
  <c r="H9" i="107"/>
  <c r="H13" i="107"/>
  <c r="H16" i="107"/>
  <c r="H22" i="107"/>
  <c r="H8" i="107"/>
  <c r="H12" i="107"/>
  <c r="H15" i="107"/>
  <c r="H20" i="107"/>
  <c r="G5" i="128" l="1"/>
  <c r="H5" i="128" s="1"/>
  <c r="I5" i="128" s="1"/>
  <c r="J5" i="128" s="1"/>
  <c r="K5" i="128" s="1"/>
  <c r="L5" i="128" s="1"/>
  <c r="M5" i="128" s="1"/>
  <c r="N5" i="128" s="1"/>
  <c r="O5" i="128" s="1"/>
  <c r="P5" i="128" s="1"/>
  <c r="Q5" i="128" s="1"/>
  <c r="R5" i="128" s="1"/>
  <c r="S5" i="128" s="1"/>
  <c r="T5" i="128" s="1"/>
  <c r="U5" i="128" s="1"/>
  <c r="V5" i="128" s="1"/>
  <c r="W5" i="128" s="1"/>
  <c r="X5" i="128" s="1"/>
  <c r="Y5" i="128" s="1"/>
  <c r="Z5" i="128" s="1"/>
  <c r="AA5" i="128" s="1"/>
  <c r="AB5" i="128" s="1"/>
  <c r="AC5" i="128" s="1"/>
  <c r="AD5" i="128" s="1"/>
  <c r="AE5" i="128" s="1"/>
  <c r="AF5" i="128" s="1"/>
  <c r="AG5" i="128" s="1"/>
  <c r="AH5" i="128" s="1"/>
  <c r="AI5" i="128" s="1"/>
  <c r="K3" i="128"/>
  <c r="J3" i="128"/>
  <c r="G4" i="127"/>
  <c r="H4" i="127" s="1"/>
  <c r="I4" i="127" s="1"/>
  <c r="J4" i="127" s="1"/>
  <c r="K4" i="127" s="1"/>
  <c r="L4" i="127" s="1"/>
  <c r="M4" i="127" s="1"/>
  <c r="N4" i="127" s="1"/>
  <c r="O4" i="127" s="1"/>
  <c r="P4" i="127" s="1"/>
  <c r="Q4" i="127" s="1"/>
  <c r="R4" i="127" s="1"/>
  <c r="S4" i="127" s="1"/>
  <c r="T4" i="127" s="1"/>
  <c r="U4" i="127" s="1"/>
  <c r="V4" i="127" s="1"/>
  <c r="W4" i="127" s="1"/>
  <c r="X4" i="127" s="1"/>
  <c r="Y4" i="127" s="1"/>
  <c r="Z4" i="127" s="1"/>
  <c r="AA4" i="127" s="1"/>
  <c r="AB4" i="127" s="1"/>
  <c r="AC4" i="127" s="1"/>
  <c r="AD4" i="127" s="1"/>
  <c r="AE4" i="127" s="1"/>
  <c r="AF4" i="127" s="1"/>
  <c r="AG4" i="127" s="1"/>
  <c r="AH4" i="127" s="1"/>
  <c r="AI4" i="127" s="1"/>
  <c r="G252" i="107"/>
  <c r="H252" i="107" s="1"/>
  <c r="G251" i="107"/>
  <c r="G250" i="107"/>
  <c r="G240" i="107"/>
  <c r="H240" i="107" s="1"/>
  <c r="G249" i="107"/>
  <c r="G248" i="107"/>
  <c r="G247" i="107"/>
  <c r="G246" i="107"/>
  <c r="G245" i="107"/>
  <c r="G244" i="107"/>
  <c r="H244" i="107" s="1"/>
  <c r="H251" i="107" l="1"/>
  <c r="H246" i="107"/>
  <c r="H247" i="107"/>
  <c r="H248" i="107"/>
  <c r="G243" i="107" l="1"/>
  <c r="H243" i="107" s="1"/>
  <c r="G242" i="107"/>
  <c r="H242" i="107" s="1"/>
  <c r="H250" i="107"/>
  <c r="G241" i="107"/>
  <c r="H241" i="107" s="1"/>
  <c r="H245" i="107"/>
  <c r="H253" i="107" l="1"/>
  <c r="H238" i="107" s="1"/>
  <c r="D13" i="97" s="1"/>
  <c r="G58" i="125" l="1"/>
  <c r="I58" i="125" s="1"/>
  <c r="K58" i="125" s="1"/>
  <c r="G59" i="125"/>
  <c r="I59" i="125" s="1"/>
  <c r="K59" i="125" s="1"/>
  <c r="G60" i="125"/>
  <c r="I60" i="125" s="1"/>
  <c r="K60" i="125" s="1"/>
  <c r="G61" i="125"/>
  <c r="I61" i="125" s="1"/>
  <c r="K61" i="125" s="1"/>
  <c r="G62" i="125"/>
  <c r="I62" i="125" s="1"/>
  <c r="K62" i="125" s="1"/>
  <c r="G63" i="125"/>
  <c r="I63" i="125" s="1"/>
  <c r="K63" i="125" s="1"/>
  <c r="G64" i="125"/>
  <c r="I64" i="125" s="1"/>
  <c r="K64" i="125" s="1"/>
  <c r="I65" i="125"/>
  <c r="K65" i="125" s="1"/>
  <c r="G66" i="125"/>
  <c r="I66" i="125" s="1"/>
  <c r="K66" i="125" s="1"/>
  <c r="G67" i="125"/>
  <c r="I67" i="125" s="1"/>
  <c r="K67" i="125" s="1"/>
  <c r="G68" i="125"/>
  <c r="I68" i="125" s="1"/>
  <c r="K68" i="125" s="1"/>
  <c r="G57" i="125"/>
  <c r="I57" i="125" s="1"/>
  <c r="K57" i="125" s="1"/>
  <c r="K49" i="125"/>
  <c r="K45" i="125"/>
  <c r="K46" i="125"/>
  <c r="K47" i="125"/>
  <c r="K48" i="125"/>
  <c r="K50" i="125"/>
  <c r="K51" i="125"/>
  <c r="K52" i="125"/>
  <c r="K53" i="125"/>
  <c r="K44" i="125"/>
  <c r="I50" i="125"/>
  <c r="G48" i="125"/>
  <c r="I48" i="125" s="1"/>
  <c r="G45" i="125"/>
  <c r="I45" i="125" s="1"/>
  <c r="G46" i="125"/>
  <c r="I46" i="125" s="1"/>
  <c r="G47" i="125"/>
  <c r="I47" i="125" s="1"/>
  <c r="G49" i="125"/>
  <c r="I49" i="125" s="1"/>
  <c r="G50" i="125"/>
  <c r="G51" i="125"/>
  <c r="I51" i="125" s="1"/>
  <c r="G52" i="125"/>
  <c r="I52" i="125" s="1"/>
  <c r="G53" i="125"/>
  <c r="I53" i="125" s="1"/>
  <c r="G44" i="125"/>
  <c r="I44" i="125" s="1"/>
  <c r="G7" i="125"/>
  <c r="I7" i="125" s="1"/>
  <c r="K7" i="125" s="1"/>
  <c r="G8" i="125"/>
  <c r="I8" i="125" s="1"/>
  <c r="K8" i="125" s="1"/>
  <c r="G9" i="125"/>
  <c r="I9" i="125" s="1"/>
  <c r="K9" i="125" s="1"/>
  <c r="G10" i="125"/>
  <c r="I10" i="125" s="1"/>
  <c r="K10" i="125" s="1"/>
  <c r="G11" i="125"/>
  <c r="I11" i="125" s="1"/>
  <c r="K11" i="125" s="1"/>
  <c r="G12" i="125"/>
  <c r="I12" i="125" s="1"/>
  <c r="K12" i="125" s="1"/>
  <c r="G13" i="125"/>
  <c r="I13" i="125" s="1"/>
  <c r="K13" i="125" s="1"/>
  <c r="G14" i="125"/>
  <c r="I14" i="125" s="1"/>
  <c r="K14" i="125" s="1"/>
  <c r="G15" i="125"/>
  <c r="I15" i="125" s="1"/>
  <c r="K15" i="125" s="1"/>
  <c r="G16" i="125"/>
  <c r="I16" i="125" s="1"/>
  <c r="K16" i="125" s="1"/>
  <c r="G18" i="125"/>
  <c r="I18" i="125" s="1"/>
  <c r="K18" i="125" s="1"/>
  <c r="I19" i="125"/>
  <c r="K19" i="125" s="1"/>
  <c r="I20" i="125"/>
  <c r="K20" i="125" s="1"/>
  <c r="I21" i="125"/>
  <c r="K21" i="125" s="1"/>
  <c r="I22" i="125"/>
  <c r="K22" i="125" s="1"/>
  <c r="I23" i="125"/>
  <c r="K23" i="125" s="1"/>
  <c r="I24" i="125"/>
  <c r="K24" i="125" s="1"/>
  <c r="I25" i="125"/>
  <c r="K25" i="125" s="1"/>
  <c r="I26" i="125"/>
  <c r="K26" i="125" s="1"/>
  <c r="I27" i="125"/>
  <c r="K27" i="125" s="1"/>
  <c r="I28" i="125"/>
  <c r="K28" i="125" s="1"/>
  <c r="I29" i="125"/>
  <c r="K29" i="125" s="1"/>
  <c r="G30" i="125"/>
  <c r="I30" i="125" s="1"/>
  <c r="K30" i="125" s="1"/>
  <c r="I31" i="125"/>
  <c r="K31" i="125" s="1"/>
  <c r="I32" i="125"/>
  <c r="K32" i="125" s="1"/>
  <c r="I33" i="125"/>
  <c r="K33" i="125" s="1"/>
  <c r="I34" i="125"/>
  <c r="K34" i="125" s="1"/>
  <c r="I35" i="125"/>
  <c r="K35" i="125" s="1"/>
  <c r="I36" i="125"/>
  <c r="K36" i="125" s="1"/>
  <c r="I37" i="125"/>
  <c r="K37" i="125" s="1"/>
  <c r="I38" i="125"/>
  <c r="K38" i="125" s="1"/>
  <c r="I39" i="125"/>
  <c r="K39" i="125" s="1"/>
  <c r="I6" i="125"/>
  <c r="K6" i="125" s="1"/>
  <c r="K42" i="125" l="1"/>
  <c r="I17" i="125"/>
  <c r="K17" i="125" s="1"/>
  <c r="K4" i="125" s="1"/>
  <c r="K55" i="125"/>
  <c r="G4" i="112" s="1"/>
  <c r="D165" i="123" l="1"/>
  <c r="G165" i="123"/>
  <c r="D108" i="123"/>
  <c r="G108" i="123"/>
  <c r="D83" i="123"/>
  <c r="G83" i="123"/>
  <c r="G57" i="123"/>
  <c r="G30" i="123"/>
  <c r="D29" i="123"/>
  <c r="D30" i="123"/>
  <c r="D27" i="123"/>
  <c r="D235" i="121"/>
  <c r="G235" i="121"/>
  <c r="D208" i="121"/>
  <c r="G208" i="121"/>
  <c r="D161" i="121"/>
  <c r="G161" i="121"/>
  <c r="D142" i="121"/>
  <c r="G142" i="121"/>
  <c r="D119" i="121"/>
  <c r="G119" i="121"/>
  <c r="D95" i="121"/>
  <c r="G95" i="121"/>
  <c r="D63" i="121"/>
  <c r="G63" i="121"/>
  <c r="D41" i="121"/>
  <c r="D43" i="121"/>
  <c r="D42" i="121"/>
  <c r="G43" i="121"/>
  <c r="G41" i="121"/>
  <c r="G18" i="121"/>
  <c r="D18" i="121"/>
  <c r="G360" i="118"/>
  <c r="G404" i="118"/>
  <c r="G379" i="118"/>
  <c r="D55" i="118"/>
  <c r="G55" i="118"/>
  <c r="G315" i="118"/>
  <c r="G313" i="118"/>
  <c r="G283" i="118"/>
  <c r="G339" i="118"/>
  <c r="G260" i="118"/>
  <c r="G78" i="118"/>
  <c r="G100" i="118"/>
  <c r="G32" i="118"/>
  <c r="E165" i="123" l="1"/>
  <c r="H165" i="123" s="1"/>
  <c r="E108" i="123"/>
  <c r="H108" i="123" s="1"/>
  <c r="E83" i="123"/>
  <c r="H83" i="123" s="1"/>
  <c r="H30" i="123"/>
  <c r="E57" i="123"/>
  <c r="E235" i="121"/>
  <c r="H235" i="121" s="1"/>
  <c r="E161" i="121"/>
  <c r="H161" i="121" s="1"/>
  <c r="E208" i="121"/>
  <c r="H208" i="121" s="1"/>
  <c r="H142" i="121"/>
  <c r="H119" i="121"/>
  <c r="H63" i="121"/>
  <c r="H43" i="121"/>
  <c r="H41" i="121"/>
  <c r="H18" i="121"/>
  <c r="H55" i="118"/>
  <c r="H95" i="121" l="1"/>
  <c r="C145" i="123"/>
  <c r="A145" i="123"/>
  <c r="C139" i="123"/>
  <c r="A139" i="123"/>
  <c r="C91" i="123"/>
  <c r="A91" i="123"/>
  <c r="C65" i="123"/>
  <c r="A65" i="123"/>
  <c r="K43" i="123"/>
  <c r="G105" i="123"/>
  <c r="E96" i="123"/>
  <c r="E94" i="123"/>
  <c r="K45" i="123" l="1"/>
  <c r="E73" i="123"/>
  <c r="E99" i="123"/>
  <c r="E95" i="123"/>
  <c r="G156" i="123" l="1"/>
  <c r="G154" i="123"/>
  <c r="G152" i="123"/>
  <c r="G151" i="123"/>
  <c r="G149" i="123"/>
  <c r="G148" i="123"/>
  <c r="G100" i="123"/>
  <c r="G99" i="123"/>
  <c r="G97" i="123"/>
  <c r="G96" i="123"/>
  <c r="G95" i="123"/>
  <c r="G94" i="123"/>
  <c r="G74" i="123"/>
  <c r="G73" i="123"/>
  <c r="G71" i="123"/>
  <c r="G70" i="123"/>
  <c r="G69" i="123"/>
  <c r="G68" i="123"/>
  <c r="G50" i="123"/>
  <c r="G49" i="123"/>
  <c r="G47" i="123"/>
  <c r="G46" i="123"/>
  <c r="G45" i="123"/>
  <c r="G44" i="123"/>
  <c r="G22" i="123"/>
  <c r="G21" i="123"/>
  <c r="G20" i="123"/>
  <c r="G18" i="123"/>
  <c r="G17" i="123"/>
  <c r="G16" i="123"/>
  <c r="G15" i="123"/>
  <c r="G14" i="123"/>
  <c r="G13" i="123"/>
  <c r="G12" i="123"/>
  <c r="G11" i="123"/>
  <c r="G10" i="123"/>
  <c r="G9" i="123"/>
  <c r="G8" i="123"/>
  <c r="G7" i="123"/>
  <c r="B155" i="123"/>
  <c r="G155" i="123" s="1"/>
  <c r="B150" i="123"/>
  <c r="G150" i="123" s="1"/>
  <c r="H81" i="123" l="1"/>
  <c r="C41" i="123"/>
  <c r="A41" i="123"/>
  <c r="A39" i="123"/>
  <c r="C4" i="123"/>
  <c r="A4" i="123"/>
  <c r="A2" i="123"/>
  <c r="G36" i="123"/>
  <c r="H28" i="123"/>
  <c r="D164" i="123" l="1"/>
  <c r="D161" i="123"/>
  <c r="D160" i="123"/>
  <c r="D159" i="123"/>
  <c r="D140" i="123"/>
  <c r="D107" i="123"/>
  <c r="D104" i="123"/>
  <c r="D103" i="123"/>
  <c r="E97" i="123"/>
  <c r="D82" i="123"/>
  <c r="G80" i="123"/>
  <c r="G79" i="123"/>
  <c r="D78" i="123"/>
  <c r="D77" i="123"/>
  <c r="G62" i="123"/>
  <c r="D50" i="123"/>
  <c r="D49" i="123"/>
  <c r="E47" i="123"/>
  <c r="E46" i="123"/>
  <c r="E45" i="123"/>
  <c r="D45" i="123"/>
  <c r="E44" i="123"/>
  <c r="K53" i="123"/>
  <c r="K23" i="123" s="1"/>
  <c r="G162" i="123"/>
  <c r="E29" i="123"/>
  <c r="E27" i="123"/>
  <c r="E26" i="123"/>
  <c r="D26" i="123"/>
  <c r="E25" i="123"/>
  <c r="D25" i="123"/>
  <c r="E22" i="123"/>
  <c r="E21" i="123"/>
  <c r="E20" i="123"/>
  <c r="E18" i="123"/>
  <c r="E17" i="123"/>
  <c r="E16" i="123"/>
  <c r="E15" i="123"/>
  <c r="E14" i="123"/>
  <c r="E13" i="123"/>
  <c r="E12" i="123"/>
  <c r="E11" i="123"/>
  <c r="E10" i="123"/>
  <c r="E9" i="123"/>
  <c r="E8" i="123"/>
  <c r="E7" i="123"/>
  <c r="D56" i="123" l="1"/>
  <c r="D57" i="123"/>
  <c r="H57" i="123" s="1"/>
  <c r="D53" i="123"/>
  <c r="H55" i="123"/>
  <c r="H96" i="123"/>
  <c r="H140" i="123"/>
  <c r="H141" i="123" s="1"/>
  <c r="H45" i="123"/>
  <c r="H17" i="123"/>
  <c r="H106" i="123"/>
  <c r="H9" i="123"/>
  <c r="H49" i="123"/>
  <c r="H50" i="123"/>
  <c r="D54" i="123"/>
  <c r="H13" i="123"/>
  <c r="H8" i="123"/>
  <c r="H12" i="123"/>
  <c r="H16" i="123"/>
  <c r="H44" i="123"/>
  <c r="H47" i="123"/>
  <c r="H22" i="123"/>
  <c r="H21" i="123"/>
  <c r="H20" i="123"/>
  <c r="H18" i="123"/>
  <c r="H15" i="123"/>
  <c r="H14" i="123"/>
  <c r="H11" i="123"/>
  <c r="H10" i="123"/>
  <c r="H7" i="123"/>
  <c r="H79" i="123"/>
  <c r="D80" i="123"/>
  <c r="H80" i="123" s="1"/>
  <c r="E104" i="123"/>
  <c r="E103" i="123"/>
  <c r="H99" i="123"/>
  <c r="H94" i="123"/>
  <c r="E105" i="123"/>
  <c r="H105" i="123" s="1"/>
  <c r="E100" i="123"/>
  <c r="H100" i="123" s="1"/>
  <c r="H95" i="123"/>
  <c r="H46" i="123"/>
  <c r="H97" i="123"/>
  <c r="H163" i="123"/>
  <c r="E70" i="123"/>
  <c r="H70" i="123" s="1"/>
  <c r="E107" i="123"/>
  <c r="E78" i="123"/>
  <c r="E77" i="123"/>
  <c r="H73" i="123"/>
  <c r="E68" i="123"/>
  <c r="H68" i="123" s="1"/>
  <c r="E74" i="123"/>
  <c r="H74" i="123" s="1"/>
  <c r="E69" i="123"/>
  <c r="H69" i="123" s="1"/>
  <c r="G113" i="123"/>
  <c r="G170" i="123"/>
  <c r="G88" i="123"/>
  <c r="E71" i="123"/>
  <c r="H71" i="123" s="1"/>
  <c r="E82" i="123"/>
  <c r="H23" i="123" l="1"/>
  <c r="D162" i="123"/>
  <c r="H162" i="123" s="1"/>
  <c r="E161" i="123"/>
  <c r="E148" i="123"/>
  <c r="H148" i="123" s="1"/>
  <c r="E151" i="123"/>
  <c r="H151" i="123" s="1"/>
  <c r="E152" i="123"/>
  <c r="H152" i="123" s="1"/>
  <c r="E150" i="123"/>
  <c r="H150" i="123" s="1"/>
  <c r="E155" i="123"/>
  <c r="H155" i="123" s="1"/>
  <c r="E159" i="123"/>
  <c r="E149" i="123"/>
  <c r="H149" i="123" s="1"/>
  <c r="E164" i="123"/>
  <c r="E156" i="123"/>
  <c r="H156" i="123" s="1"/>
  <c r="E160" i="123"/>
  <c r="E154" i="123"/>
  <c r="H154" i="123" s="1"/>
  <c r="H51" i="123"/>
  <c r="H75" i="123"/>
  <c r="H101" i="123"/>
  <c r="H157" i="123" l="1"/>
  <c r="H172" i="121" l="1"/>
  <c r="H175" i="121" s="1"/>
  <c r="K42" i="121"/>
  <c r="C215" i="121"/>
  <c r="A215" i="121"/>
  <c r="C188" i="121"/>
  <c r="A188" i="121"/>
  <c r="G183" i="121"/>
  <c r="G182" i="121"/>
  <c r="H176" i="121" l="1"/>
  <c r="H177" i="121" s="1"/>
  <c r="H178" i="121" s="1"/>
  <c r="E182" i="121" s="1"/>
  <c r="E183" i="121" l="1"/>
  <c r="H183" i="121" s="1"/>
  <c r="H182" i="121"/>
  <c r="C126" i="121"/>
  <c r="A126" i="121"/>
  <c r="C102" i="121"/>
  <c r="A102" i="121"/>
  <c r="E116" i="121"/>
  <c r="E115" i="121"/>
  <c r="E118" i="121" s="1"/>
  <c r="E117" i="121"/>
  <c r="H117" i="121" s="1"/>
  <c r="D116" i="121"/>
  <c r="D115" i="121"/>
  <c r="E112" i="121"/>
  <c r="E111" i="121"/>
  <c r="E109" i="121"/>
  <c r="E108" i="121"/>
  <c r="E107" i="121"/>
  <c r="E106" i="121"/>
  <c r="E105" i="121"/>
  <c r="D118" i="121"/>
  <c r="G112" i="121"/>
  <c r="G111" i="121"/>
  <c r="G109" i="121"/>
  <c r="G108" i="121"/>
  <c r="G107" i="121"/>
  <c r="G106" i="121"/>
  <c r="G105" i="121"/>
  <c r="H170" i="121" l="1"/>
  <c r="H106" i="121"/>
  <c r="H109" i="121"/>
  <c r="H107" i="121"/>
  <c r="H112" i="121"/>
  <c r="H108" i="121"/>
  <c r="H105" i="121"/>
  <c r="H111" i="121"/>
  <c r="H113" i="121" l="1"/>
  <c r="G86" i="121" l="1"/>
  <c r="G87" i="121"/>
  <c r="G85" i="121"/>
  <c r="G83" i="121"/>
  <c r="G82" i="121"/>
  <c r="G81" i="121"/>
  <c r="G80" i="121"/>
  <c r="G79" i="121"/>
  <c r="G78" i="121"/>
  <c r="G77" i="121"/>
  <c r="G76" i="121"/>
  <c r="E80" i="121"/>
  <c r="C73" i="121"/>
  <c r="A73" i="121"/>
  <c r="D94" i="121"/>
  <c r="D90" i="121"/>
  <c r="E83" i="121"/>
  <c r="E82" i="121"/>
  <c r="E81" i="121"/>
  <c r="D81" i="121"/>
  <c r="E79" i="121"/>
  <c r="E78" i="121"/>
  <c r="E77" i="121"/>
  <c r="E76" i="121"/>
  <c r="H93" i="121" l="1"/>
  <c r="H76" i="121"/>
  <c r="H82" i="121"/>
  <c r="H87" i="121"/>
  <c r="H77" i="121"/>
  <c r="H83" i="121"/>
  <c r="H78" i="121"/>
  <c r="H81" i="121"/>
  <c r="H80" i="121"/>
  <c r="H79" i="121"/>
  <c r="H85" i="121"/>
  <c r="H86" i="121"/>
  <c r="H88" i="121" l="1"/>
  <c r="C3" i="121" l="1"/>
  <c r="A3" i="121"/>
  <c r="E16" i="121"/>
  <c r="E224" i="121"/>
  <c r="G226" i="121"/>
  <c r="G225" i="121"/>
  <c r="G224" i="121"/>
  <c r="G222" i="121"/>
  <c r="G221" i="121"/>
  <c r="G220" i="121"/>
  <c r="G219" i="121"/>
  <c r="G218" i="121"/>
  <c r="G200" i="121"/>
  <c r="G199" i="121"/>
  <c r="G198" i="121"/>
  <c r="G196" i="121"/>
  <c r="G195" i="121"/>
  <c r="G194" i="121"/>
  <c r="G193" i="121"/>
  <c r="G192" i="121"/>
  <c r="G191" i="121"/>
  <c r="G154" i="121"/>
  <c r="G153" i="121"/>
  <c r="G151" i="121"/>
  <c r="G150" i="121"/>
  <c r="G149" i="121"/>
  <c r="G148" i="121"/>
  <c r="G135" i="121"/>
  <c r="G134" i="121"/>
  <c r="G132" i="121"/>
  <c r="G131" i="121"/>
  <c r="G130" i="121"/>
  <c r="G129" i="121"/>
  <c r="G55" i="121"/>
  <c r="G54" i="121"/>
  <c r="G53" i="121"/>
  <c r="G51" i="121"/>
  <c r="G50" i="121"/>
  <c r="G49" i="121"/>
  <c r="G33" i="121"/>
  <c r="G32" i="121"/>
  <c r="G31" i="121"/>
  <c r="G29" i="121"/>
  <c r="G28" i="121"/>
  <c r="G27" i="121"/>
  <c r="G26" i="121"/>
  <c r="G25" i="121"/>
  <c r="G24" i="121"/>
  <c r="G12" i="121"/>
  <c r="G11" i="121"/>
  <c r="G10" i="121"/>
  <c r="K12" i="121"/>
  <c r="G7" i="121"/>
  <c r="G8" i="121"/>
  <c r="G6" i="121"/>
  <c r="A1" i="121"/>
  <c r="G232" i="121"/>
  <c r="H206" i="121"/>
  <c r="G67" i="121"/>
  <c r="D16" i="121"/>
  <c r="E232" i="121"/>
  <c r="E231" i="121"/>
  <c r="E234" i="121" s="1"/>
  <c r="D231" i="121"/>
  <c r="D234" i="121" s="1"/>
  <c r="E230" i="121"/>
  <c r="E229" i="121"/>
  <c r="E226" i="121"/>
  <c r="E222" i="121"/>
  <c r="E221" i="121"/>
  <c r="E220" i="121"/>
  <c r="E205" i="121"/>
  <c r="E207" i="121" s="1"/>
  <c r="D207" i="121"/>
  <c r="E204" i="121"/>
  <c r="E203" i="121"/>
  <c r="E200" i="121"/>
  <c r="E199" i="121"/>
  <c r="E198" i="121"/>
  <c r="E196" i="121"/>
  <c r="E195" i="121"/>
  <c r="E194" i="121"/>
  <c r="E193" i="121"/>
  <c r="E192" i="121"/>
  <c r="E191" i="121"/>
  <c r="E158" i="121"/>
  <c r="E160" i="121" s="1"/>
  <c r="D160" i="121"/>
  <c r="E157" i="121"/>
  <c r="E154" i="121"/>
  <c r="E153" i="121"/>
  <c r="E151" i="121"/>
  <c r="E150" i="121"/>
  <c r="E149" i="121"/>
  <c r="E148" i="121"/>
  <c r="E139" i="121"/>
  <c r="E141" i="121" s="1"/>
  <c r="E138" i="121"/>
  <c r="E135" i="121"/>
  <c r="E134" i="121"/>
  <c r="E132" i="121"/>
  <c r="E131" i="121"/>
  <c r="E130" i="121"/>
  <c r="E129" i="121"/>
  <c r="H61" i="121"/>
  <c r="E60" i="121"/>
  <c r="E62" i="121" s="1"/>
  <c r="D60" i="121"/>
  <c r="E59" i="121"/>
  <c r="D59" i="121"/>
  <c r="E58" i="121"/>
  <c r="D58" i="121"/>
  <c r="E55" i="121"/>
  <c r="E54" i="121"/>
  <c r="E53" i="121"/>
  <c r="E51" i="121"/>
  <c r="E50" i="121"/>
  <c r="E49" i="121"/>
  <c r="E42" i="121"/>
  <c r="E40" i="121"/>
  <c r="D40" i="121"/>
  <c r="E38" i="121"/>
  <c r="D38" i="121"/>
  <c r="E37" i="121"/>
  <c r="D37" i="121"/>
  <c r="E36" i="121"/>
  <c r="D36" i="121"/>
  <c r="E33" i="121"/>
  <c r="E32" i="121"/>
  <c r="E31" i="121"/>
  <c r="E29" i="121"/>
  <c r="E28" i="121"/>
  <c r="E27" i="121"/>
  <c r="E26" i="121"/>
  <c r="E25" i="121"/>
  <c r="K40" i="121"/>
  <c r="E24" i="121"/>
  <c r="E17" i="121"/>
  <c r="D17" i="121"/>
  <c r="H15" i="121"/>
  <c r="E8" i="121"/>
  <c r="E7" i="121"/>
  <c r="E12" i="121" l="1"/>
  <c r="E10" i="121"/>
  <c r="H10" i="121" s="1"/>
  <c r="D91" i="121"/>
  <c r="D92" i="121"/>
  <c r="E11" i="121"/>
  <c r="H11" i="121" s="1"/>
  <c r="H16" i="121"/>
  <c r="H232" i="121"/>
  <c r="H225" i="121"/>
  <c r="H135" i="121"/>
  <c r="H132" i="121"/>
  <c r="H129" i="121"/>
  <c r="H148" i="121"/>
  <c r="H150" i="121"/>
  <c r="H153" i="121"/>
  <c r="H191" i="121"/>
  <c r="H195" i="121"/>
  <c r="H198" i="121"/>
  <c r="H200" i="121"/>
  <c r="H224" i="121"/>
  <c r="H226" i="121"/>
  <c r="H151" i="121"/>
  <c r="H31" i="121"/>
  <c r="H159" i="121"/>
  <c r="H53" i="121"/>
  <c r="H50" i="121"/>
  <c r="H218" i="121"/>
  <c r="H54" i="121"/>
  <c r="H26" i="121"/>
  <c r="H51" i="121"/>
  <c r="H134" i="121"/>
  <c r="H199" i="121"/>
  <c r="H221" i="121"/>
  <c r="H27" i="121"/>
  <c r="H6" i="121"/>
  <c r="K41" i="121"/>
  <c r="H39" i="121"/>
  <c r="H49" i="121"/>
  <c r="H130" i="121"/>
  <c r="H149" i="121"/>
  <c r="H154" i="121"/>
  <c r="H193" i="121"/>
  <c r="H196" i="121"/>
  <c r="H233" i="121"/>
  <c r="H140" i="121"/>
  <c r="H7" i="121"/>
  <c r="H12" i="121"/>
  <c r="H25" i="121"/>
  <c r="H28" i="121"/>
  <c r="H29" i="121"/>
  <c r="H32" i="121"/>
  <c r="H55" i="121"/>
  <c r="H131" i="121"/>
  <c r="H192" i="121"/>
  <c r="H194" i="121"/>
  <c r="H219" i="121"/>
  <c r="H222" i="121"/>
  <c r="H8" i="121"/>
  <c r="H24" i="121"/>
  <c r="H33" i="121"/>
  <c r="D141" i="121"/>
  <c r="D62" i="121"/>
  <c r="H220" i="121"/>
  <c r="H56" i="121" l="1"/>
  <c r="H13" i="121"/>
  <c r="H136" i="121"/>
  <c r="H227" i="121"/>
  <c r="H155" i="121"/>
  <c r="H201" i="121"/>
  <c r="H34" i="121"/>
  <c r="C385" i="118" l="1"/>
  <c r="A385" i="118"/>
  <c r="G395" i="118"/>
  <c r="G393" i="118"/>
  <c r="G391" i="118"/>
  <c r="G389" i="118"/>
  <c r="G388" i="118"/>
  <c r="B394" i="118"/>
  <c r="G394" i="118" s="1"/>
  <c r="B390" i="118"/>
  <c r="G390" i="118" s="1"/>
  <c r="E403" i="118"/>
  <c r="D401" i="118"/>
  <c r="E400" i="118"/>
  <c r="E399" i="118"/>
  <c r="E398" i="118"/>
  <c r="E395" i="118"/>
  <c r="E394" i="118"/>
  <c r="K72" i="118"/>
  <c r="E391" i="118"/>
  <c r="E390" i="118"/>
  <c r="E389" i="118"/>
  <c r="E388" i="118"/>
  <c r="D395" i="118"/>
  <c r="D404" i="118" s="1"/>
  <c r="D394" i="118"/>
  <c r="D399" i="118" s="1"/>
  <c r="D393" i="118"/>
  <c r="D398" i="118" s="1"/>
  <c r="D391" i="118"/>
  <c r="D390" i="118"/>
  <c r="D389" i="118"/>
  <c r="D388" i="118"/>
  <c r="G401" i="118"/>
  <c r="G363" i="118"/>
  <c r="F363" i="118"/>
  <c r="F342" i="118"/>
  <c r="H401" i="118" l="1"/>
  <c r="D400" i="118"/>
  <c r="H404" i="118"/>
  <c r="H389" i="118"/>
  <c r="H394" i="118"/>
  <c r="D403" i="118"/>
  <c r="H390" i="118"/>
  <c r="H391" i="118"/>
  <c r="H388" i="118"/>
  <c r="H395" i="118"/>
  <c r="H393" i="118"/>
  <c r="H402" i="118"/>
  <c r="H396" i="118" l="1"/>
  <c r="H377" i="118" l="1"/>
  <c r="H374" i="118"/>
  <c r="G371" i="118"/>
  <c r="B370" i="118"/>
  <c r="G370" i="118" s="1"/>
  <c r="H53" i="118"/>
  <c r="G52" i="118"/>
  <c r="G47" i="118"/>
  <c r="B46" i="118"/>
  <c r="G46" i="118" s="1"/>
  <c r="G44" i="118"/>
  <c r="B43" i="118"/>
  <c r="G43" i="118" s="1"/>
  <c r="B42" i="118"/>
  <c r="G42" i="118" s="1"/>
  <c r="G41" i="118"/>
  <c r="E312" i="118"/>
  <c r="G311" i="118"/>
  <c r="H311" i="118" s="1"/>
  <c r="H308" i="118"/>
  <c r="E305" i="118"/>
  <c r="G301" i="118"/>
  <c r="D301" i="118"/>
  <c r="G300" i="118"/>
  <c r="D300" i="118"/>
  <c r="D315" i="118" s="1"/>
  <c r="H315" i="118" s="1"/>
  <c r="G299" i="118"/>
  <c r="E299" i="118"/>
  <c r="D313" i="118"/>
  <c r="H313" i="118" s="1"/>
  <c r="G298" i="118"/>
  <c r="D309" i="118"/>
  <c r="G296" i="118"/>
  <c r="E296" i="118"/>
  <c r="D296" i="118"/>
  <c r="G295" i="118"/>
  <c r="E295" i="118"/>
  <c r="D295" i="118"/>
  <c r="G294" i="118"/>
  <c r="E294" i="118"/>
  <c r="D294" i="118"/>
  <c r="G293" i="118"/>
  <c r="E293" i="118"/>
  <c r="G292" i="118"/>
  <c r="E292" i="118"/>
  <c r="D292" i="118"/>
  <c r="G357" i="118"/>
  <c r="H356" i="118"/>
  <c r="G350" i="118"/>
  <c r="G349" i="118"/>
  <c r="G347" i="118"/>
  <c r="G346" i="118"/>
  <c r="G345" i="118"/>
  <c r="G286" i="118"/>
  <c r="H281" i="118"/>
  <c r="G276" i="118"/>
  <c r="G275" i="118"/>
  <c r="G273" i="118"/>
  <c r="G272" i="118"/>
  <c r="G271" i="118"/>
  <c r="G270" i="118"/>
  <c r="G337" i="118"/>
  <c r="G336" i="118"/>
  <c r="H335" i="118"/>
  <c r="E334" i="118"/>
  <c r="G329" i="118"/>
  <c r="G328" i="118"/>
  <c r="G326" i="118"/>
  <c r="G325" i="118"/>
  <c r="G324" i="118"/>
  <c r="H258" i="118"/>
  <c r="K131" i="118"/>
  <c r="G252" i="118"/>
  <c r="G251" i="118"/>
  <c r="K129" i="118"/>
  <c r="G168" i="118" s="1"/>
  <c r="G249" i="118"/>
  <c r="G248" i="118"/>
  <c r="G247" i="118"/>
  <c r="H76" i="118"/>
  <c r="G75" i="118"/>
  <c r="G70" i="118"/>
  <c r="G69" i="118"/>
  <c r="K150" i="118"/>
  <c r="G67" i="118"/>
  <c r="G66" i="118"/>
  <c r="G65" i="118"/>
  <c r="G64" i="118"/>
  <c r="K81" i="118"/>
  <c r="H98" i="118"/>
  <c r="G93" i="118"/>
  <c r="G92" i="118"/>
  <c r="G90" i="118"/>
  <c r="G89" i="118"/>
  <c r="G88" i="118"/>
  <c r="G87" i="118"/>
  <c r="K107" i="118"/>
  <c r="K57" i="118"/>
  <c r="H30" i="118"/>
  <c r="H27" i="118"/>
  <c r="G24" i="118"/>
  <c r="D52" i="118"/>
  <c r="G22" i="118"/>
  <c r="G21" i="118"/>
  <c r="E6" i="118" l="1"/>
  <c r="H6" i="118" s="1"/>
  <c r="E7" i="118"/>
  <c r="H7" i="118" s="1"/>
  <c r="E8" i="118"/>
  <c r="H8" i="118" s="1"/>
  <c r="E212" i="118"/>
  <c r="H212" i="118" s="1"/>
  <c r="D214" i="118"/>
  <c r="D226" i="118"/>
  <c r="D218" i="118"/>
  <c r="E218" i="118" s="1"/>
  <c r="D213" i="118"/>
  <c r="D219" i="118"/>
  <c r="D220" i="118"/>
  <c r="E234" i="118"/>
  <c r="H234" i="118" s="1"/>
  <c r="H235" i="118" s="1"/>
  <c r="H239" i="118" s="1"/>
  <c r="G240" i="118"/>
  <c r="G232" i="118"/>
  <c r="G206" i="118"/>
  <c r="G126" i="118"/>
  <c r="E174" i="118"/>
  <c r="H174" i="118" s="1"/>
  <c r="G182" i="118"/>
  <c r="E349" i="118"/>
  <c r="E21" i="118"/>
  <c r="G103" i="118"/>
  <c r="D371" i="118"/>
  <c r="G407" i="118"/>
  <c r="H52" i="118"/>
  <c r="E24" i="118"/>
  <c r="E22" i="118"/>
  <c r="E252" i="118"/>
  <c r="D90" i="118"/>
  <c r="H292" i="118"/>
  <c r="H296" i="118"/>
  <c r="H309" i="118"/>
  <c r="K82" i="118"/>
  <c r="E326" i="118"/>
  <c r="E329" i="118"/>
  <c r="E350" i="118"/>
  <c r="E324" i="118"/>
  <c r="E270" i="118"/>
  <c r="H295" i="118"/>
  <c r="K100" i="118"/>
  <c r="E69" i="118" s="1"/>
  <c r="E251" i="118"/>
  <c r="E328" i="118"/>
  <c r="E42" i="118"/>
  <c r="D247" i="118"/>
  <c r="D249" i="118"/>
  <c r="E280" i="118"/>
  <c r="D307" i="118"/>
  <c r="H301" i="118"/>
  <c r="D44" i="118"/>
  <c r="D42" i="118"/>
  <c r="D350" i="118"/>
  <c r="D360" i="118" s="1"/>
  <c r="D349" i="118"/>
  <c r="D347" i="118"/>
  <c r="D346" i="118"/>
  <c r="D345" i="118"/>
  <c r="D41" i="118"/>
  <c r="D358" i="118"/>
  <c r="H358" i="118" s="1"/>
  <c r="E347" i="118"/>
  <c r="E276" i="118"/>
  <c r="E273" i="118"/>
  <c r="E272" i="118"/>
  <c r="E271" i="118"/>
  <c r="H271" i="118" s="1"/>
  <c r="D270" i="118"/>
  <c r="D329" i="118"/>
  <c r="D339" i="118" s="1"/>
  <c r="H339" i="118" s="1"/>
  <c r="D328" i="118"/>
  <c r="D326" i="118"/>
  <c r="D325" i="118"/>
  <c r="D324" i="118"/>
  <c r="D67" i="118"/>
  <c r="D66" i="118"/>
  <c r="D65" i="118"/>
  <c r="D64" i="118"/>
  <c r="E99" i="118"/>
  <c r="D32" i="118"/>
  <c r="H32" i="118" s="1"/>
  <c r="E96" i="118"/>
  <c r="E249" i="118"/>
  <c r="E247" i="118"/>
  <c r="D43" i="118"/>
  <c r="D276" i="118"/>
  <c r="D283" i="118" s="1"/>
  <c r="H283" i="118" s="1"/>
  <c r="D275" i="118"/>
  <c r="D273" i="118"/>
  <c r="D272" i="118"/>
  <c r="E97" i="118"/>
  <c r="E345" i="118"/>
  <c r="D337" i="118"/>
  <c r="H337" i="118" s="1"/>
  <c r="D252" i="118"/>
  <c r="D251" i="118"/>
  <c r="E248" i="118"/>
  <c r="E282" i="118"/>
  <c r="D70" i="118"/>
  <c r="E325" i="118"/>
  <c r="D89" i="118"/>
  <c r="D88" i="118"/>
  <c r="D93" i="118"/>
  <c r="D87" i="118"/>
  <c r="D92" i="118"/>
  <c r="E93" i="118"/>
  <c r="D78" i="118"/>
  <c r="H78" i="118" s="1"/>
  <c r="D248" i="118"/>
  <c r="G318" i="118"/>
  <c r="G58" i="118"/>
  <c r="G81" i="118"/>
  <c r="G35" i="118"/>
  <c r="G382" i="118"/>
  <c r="E279" i="118"/>
  <c r="E346" i="118"/>
  <c r="D310" i="118"/>
  <c r="H310" i="118" s="1"/>
  <c r="D306" i="118"/>
  <c r="D314" i="118"/>
  <c r="H300" i="118"/>
  <c r="H294" i="118"/>
  <c r="D305" i="118"/>
  <c r="H299" i="118"/>
  <c r="E41" i="118"/>
  <c r="E54" i="118"/>
  <c r="E51" i="118"/>
  <c r="E50" i="118"/>
  <c r="E46" i="118"/>
  <c r="H46" i="118" s="1"/>
  <c r="E44" i="118"/>
  <c r="E43" i="118"/>
  <c r="E371" i="118"/>
  <c r="E370" i="118"/>
  <c r="H293" i="118"/>
  <c r="D312" i="118"/>
  <c r="H298" i="118"/>
  <c r="E47" i="118"/>
  <c r="H47" i="118" s="1"/>
  <c r="H160" i="118" l="1"/>
  <c r="H159" i="118"/>
  <c r="H152" i="118"/>
  <c r="H155" i="118"/>
  <c r="H156" i="118"/>
  <c r="H161" i="118"/>
  <c r="E153" i="118"/>
  <c r="H153" i="118" s="1"/>
  <c r="H163" i="118"/>
  <c r="H145" i="118"/>
  <c r="H134" i="118"/>
  <c r="H143" i="118"/>
  <c r="H138" i="118"/>
  <c r="H142" i="118"/>
  <c r="H141" i="118"/>
  <c r="H135" i="118"/>
  <c r="H10" i="118"/>
  <c r="H14" i="118" s="1"/>
  <c r="H15" i="118" s="1"/>
  <c r="H3" i="118" s="1"/>
  <c r="D31" i="97" s="1"/>
  <c r="H226" i="118"/>
  <c r="D223" i="118"/>
  <c r="D228" i="118"/>
  <c r="E219" i="118"/>
  <c r="H219" i="118" s="1"/>
  <c r="D224" i="118"/>
  <c r="H240" i="118"/>
  <c r="H218" i="118"/>
  <c r="E225" i="118"/>
  <c r="E213" i="118"/>
  <c r="H213" i="118" s="1"/>
  <c r="D225" i="118"/>
  <c r="D229" i="118"/>
  <c r="H229" i="118" s="1"/>
  <c r="E223" i="118"/>
  <c r="E228" i="118"/>
  <c r="E214" i="118"/>
  <c r="H214" i="118" s="1"/>
  <c r="E224" i="118"/>
  <c r="E220" i="118"/>
  <c r="H220" i="118" s="1"/>
  <c r="D375" i="118"/>
  <c r="D376" i="118"/>
  <c r="D378" i="118"/>
  <c r="E111" i="118"/>
  <c r="H111" i="118" s="1"/>
  <c r="E112" i="118"/>
  <c r="H112" i="118" s="1"/>
  <c r="E114" i="118"/>
  <c r="H114" i="118" s="1"/>
  <c r="E115" i="118"/>
  <c r="H115" i="118" s="1"/>
  <c r="E120" i="118"/>
  <c r="H120" i="118" s="1"/>
  <c r="E122" i="118"/>
  <c r="E118" i="118"/>
  <c r="E119" i="118"/>
  <c r="H175" i="118"/>
  <c r="D379" i="118"/>
  <c r="H379" i="118" s="1"/>
  <c r="E66" i="118"/>
  <c r="H66" i="118" s="1"/>
  <c r="E64" i="118"/>
  <c r="H64" i="118" s="1"/>
  <c r="H371" i="118"/>
  <c r="K108" i="118"/>
  <c r="H326" i="118"/>
  <c r="D100" i="118"/>
  <c r="H100" i="118" s="1"/>
  <c r="H360" i="118"/>
  <c r="D260" i="118"/>
  <c r="H260" i="118" s="1"/>
  <c r="H90" i="118"/>
  <c r="H21" i="118"/>
  <c r="H87" i="118"/>
  <c r="E73" i="118"/>
  <c r="H248" i="118"/>
  <c r="E75" i="118"/>
  <c r="H75" i="118" s="1"/>
  <c r="H89" i="118"/>
  <c r="H22" i="118"/>
  <c r="E74" i="118"/>
  <c r="H270" i="118"/>
  <c r="H69" i="118"/>
  <c r="E65" i="118"/>
  <c r="H65" i="118" s="1"/>
  <c r="E77" i="118"/>
  <c r="E70" i="118"/>
  <c r="H70" i="118" s="1"/>
  <c r="H42" i="118"/>
  <c r="E67" i="118"/>
  <c r="H67" i="118" s="1"/>
  <c r="H324" i="118"/>
  <c r="H41" i="118"/>
  <c r="H345" i="118"/>
  <c r="H302" i="118"/>
  <c r="H272" i="118"/>
  <c r="H325" i="118"/>
  <c r="D354" i="118"/>
  <c r="H350" i="118"/>
  <c r="D77" i="118"/>
  <c r="D73" i="118"/>
  <c r="H93" i="118"/>
  <c r="D97" i="118"/>
  <c r="D28" i="118"/>
  <c r="H24" i="118"/>
  <c r="D29" i="118"/>
  <c r="H29" i="118" s="1"/>
  <c r="D31" i="118"/>
  <c r="H346" i="118"/>
  <c r="H249" i="118"/>
  <c r="D256" i="118"/>
  <c r="H252" i="118"/>
  <c r="D280" i="118"/>
  <c r="H276" i="118"/>
  <c r="H92" i="118"/>
  <c r="D99" i="118"/>
  <c r="D96" i="118"/>
  <c r="H273" i="118"/>
  <c r="H43" i="118"/>
  <c r="H347" i="118"/>
  <c r="H44" i="118"/>
  <c r="H247" i="118"/>
  <c r="D74" i="118"/>
  <c r="D333" i="118"/>
  <c r="H329" i="118"/>
  <c r="H88" i="118"/>
  <c r="D255" i="118"/>
  <c r="D257" i="118"/>
  <c r="H257" i="118" s="1"/>
  <c r="D259" i="118"/>
  <c r="H251" i="118"/>
  <c r="D279" i="118"/>
  <c r="H275" i="118"/>
  <c r="D282" i="118"/>
  <c r="H370" i="118"/>
  <c r="D336" i="118"/>
  <c r="H336" i="118" s="1"/>
  <c r="D334" i="118"/>
  <c r="H334" i="118" s="1"/>
  <c r="H328" i="118"/>
  <c r="D338" i="118"/>
  <c r="D332" i="118"/>
  <c r="D359" i="118"/>
  <c r="D357" i="118"/>
  <c r="H357" i="118" s="1"/>
  <c r="D353" i="118"/>
  <c r="H349" i="118"/>
  <c r="D355" i="118"/>
  <c r="H355" i="118" s="1"/>
  <c r="H165" i="118" l="1"/>
  <c r="H157" i="118"/>
  <c r="H147" i="118"/>
  <c r="H139" i="118"/>
  <c r="E188" i="118"/>
  <c r="E189" i="118"/>
  <c r="H189" i="118" s="1"/>
  <c r="H221" i="118"/>
  <c r="H116" i="118"/>
  <c r="E202" i="118"/>
  <c r="D200" i="118"/>
  <c r="H200" i="118" s="1"/>
  <c r="E194" i="118"/>
  <c r="H194" i="118" s="1"/>
  <c r="E191" i="118"/>
  <c r="H191" i="118" s="1"/>
  <c r="H188" i="118"/>
  <c r="E198" i="118"/>
  <c r="E197" i="118"/>
  <c r="E190" i="118"/>
  <c r="H190" i="118" s="1"/>
  <c r="D199" i="118"/>
  <c r="H199" i="118" s="1"/>
  <c r="E193" i="118"/>
  <c r="H193" i="118" s="1"/>
  <c r="H372" i="118"/>
  <c r="H25" i="118"/>
  <c r="H330" i="118"/>
  <c r="H71" i="118"/>
  <c r="H351" i="118"/>
  <c r="H48" i="118"/>
  <c r="H94" i="118"/>
  <c r="H277" i="118"/>
  <c r="H253" i="118"/>
  <c r="H166" i="118" l="1"/>
  <c r="H148" i="118"/>
  <c r="H195" i="118"/>
  <c r="D64" i="107"/>
  <c r="D62" i="107"/>
  <c r="D70" i="107"/>
  <c r="D74" i="107" s="1"/>
  <c r="D61" i="107"/>
  <c r="H61" i="107" s="1"/>
  <c r="D65" i="107"/>
  <c r="H63" i="107"/>
  <c r="H67" i="107"/>
  <c r="D66" i="107"/>
  <c r="H168" i="118" l="1"/>
  <c r="H167" i="118"/>
  <c r="D73" i="107"/>
  <c r="D78" i="107"/>
  <c r="H66" i="107"/>
  <c r="H62" i="107"/>
  <c r="D79" i="107"/>
  <c r="H79" i="107" s="1"/>
  <c r="H70" i="107"/>
  <c r="H65" i="107"/>
  <c r="H69" i="107"/>
  <c r="H64" i="107"/>
  <c r="H129" i="118" l="1"/>
  <c r="D38" i="97" s="1"/>
  <c r="H71" i="107"/>
  <c r="C13" i="114" l="1"/>
  <c r="E13" i="114" s="1"/>
  <c r="D20" i="97" l="1"/>
  <c r="D21" i="97" l="1"/>
  <c r="I10" i="128" l="1"/>
  <c r="M10" i="128"/>
  <c r="K10" i="128"/>
  <c r="G10" i="128"/>
  <c r="L10" i="128"/>
  <c r="J10" i="128"/>
  <c r="N10" i="128"/>
  <c r="H10" i="128"/>
  <c r="E10" i="128" l="1"/>
  <c r="D10" i="128"/>
  <c r="A3" i="112"/>
  <c r="D5" i="112"/>
  <c r="D6" i="112" l="1"/>
  <c r="D3" i="112" l="1"/>
  <c r="D17" i="97"/>
  <c r="D274" i="107"/>
  <c r="H273" i="107"/>
  <c r="D272" i="107"/>
  <c r="D271" i="107"/>
  <c r="D270" i="107"/>
  <c r="G267" i="107"/>
  <c r="G266" i="107"/>
  <c r="G265" i="107"/>
  <c r="G263" i="107"/>
  <c r="G262" i="107"/>
  <c r="G261" i="107"/>
  <c r="G260" i="107"/>
  <c r="G259" i="107"/>
  <c r="E229" i="107"/>
  <c r="D229" i="107"/>
  <c r="H228" i="107"/>
  <c r="E227" i="107"/>
  <c r="D227" i="107"/>
  <c r="E226" i="107"/>
  <c r="D226" i="107"/>
  <c r="E225" i="107"/>
  <c r="D225" i="107"/>
  <c r="G222" i="107"/>
  <c r="E222" i="107"/>
  <c r="G221" i="107"/>
  <c r="E221" i="107"/>
  <c r="G220" i="107"/>
  <c r="G218" i="107"/>
  <c r="E218" i="107"/>
  <c r="G217" i="107"/>
  <c r="E217" i="107"/>
  <c r="G216" i="107"/>
  <c r="E216" i="107"/>
  <c r="G215" i="107"/>
  <c r="G214" i="107"/>
  <c r="G213" i="107"/>
  <c r="E202" i="107"/>
  <c r="D202" i="107"/>
  <c r="G201" i="107"/>
  <c r="D201" i="107"/>
  <c r="H200" i="107"/>
  <c r="E199" i="107"/>
  <c r="D199" i="107"/>
  <c r="E198" i="107"/>
  <c r="D198" i="107"/>
  <c r="E197" i="107"/>
  <c r="D197" i="107"/>
  <c r="G194" i="107"/>
  <c r="E194" i="107"/>
  <c r="G193" i="107"/>
  <c r="E193" i="107"/>
  <c r="G192" i="107"/>
  <c r="G190" i="107"/>
  <c r="G189" i="107"/>
  <c r="G188" i="107"/>
  <c r="G187" i="107"/>
  <c r="G186" i="107"/>
  <c r="G185" i="107"/>
  <c r="G184" i="107"/>
  <c r="G171" i="107"/>
  <c r="H170" i="107"/>
  <c r="G165" i="107"/>
  <c r="G164" i="107"/>
  <c r="G162" i="107"/>
  <c r="G161" i="107"/>
  <c r="G160" i="107"/>
  <c r="H160" i="107" s="1"/>
  <c r="G159" i="107"/>
  <c r="G158" i="107"/>
  <c r="H147" i="107"/>
  <c r="H148" i="107" s="1"/>
  <c r="G144" i="107"/>
  <c r="G143" i="107"/>
  <c r="G142" i="107"/>
  <c r="G141" i="107"/>
  <c r="G140" i="107"/>
  <c r="D18" i="97" l="1"/>
  <c r="H92" i="107"/>
  <c r="H96" i="107"/>
  <c r="H93" i="107"/>
  <c r="H91" i="107"/>
  <c r="H97" i="107"/>
  <c r="E94" i="107"/>
  <c r="H94" i="107" s="1"/>
  <c r="H220" i="107"/>
  <c r="H186" i="107"/>
  <c r="H259" i="107"/>
  <c r="H140" i="107"/>
  <c r="H221" i="107"/>
  <c r="H217" i="107"/>
  <c r="H222" i="107"/>
  <c r="H190" i="107"/>
  <c r="H214" i="107"/>
  <c r="H187" i="107"/>
  <c r="H189" i="107"/>
  <c r="H192" i="107"/>
  <c r="H201" i="107"/>
  <c r="H185" i="107"/>
  <c r="H216" i="107"/>
  <c r="H188" i="107"/>
  <c r="H213" i="107"/>
  <c r="H215" i="107"/>
  <c r="H267" i="107"/>
  <c r="H262" i="107"/>
  <c r="H162" i="107"/>
  <c r="H158" i="107"/>
  <c r="E142" i="107"/>
  <c r="H142" i="107" s="1"/>
  <c r="H266" i="107"/>
  <c r="H260" i="107"/>
  <c r="H263" i="107"/>
  <c r="H265" i="107"/>
  <c r="H261" i="107"/>
  <c r="D159" i="107"/>
  <c r="H161" i="107"/>
  <c r="E143" i="107"/>
  <c r="H143" i="107" s="1"/>
  <c r="H141" i="107"/>
  <c r="K67" i="107"/>
  <c r="E144" i="107"/>
  <c r="H144" i="107" s="1"/>
  <c r="H157" i="107"/>
  <c r="H194" i="107"/>
  <c r="H193" i="107"/>
  <c r="H218" i="107"/>
  <c r="H184" i="107"/>
  <c r="I9" i="128" l="1"/>
  <c r="H9" i="128"/>
  <c r="J9" i="128"/>
  <c r="K9" i="128"/>
  <c r="G9" i="128"/>
  <c r="H164" i="107"/>
  <c r="H100" i="107"/>
  <c r="H223" i="107"/>
  <c r="H268" i="107"/>
  <c r="H278" i="107" s="1"/>
  <c r="H145" i="107"/>
  <c r="H150" i="107" s="1"/>
  <c r="H151" i="107" s="1"/>
  <c r="H137" i="107" s="1"/>
  <c r="D9" i="97" s="1"/>
  <c r="H195" i="107"/>
  <c r="D172" i="107"/>
  <c r="D168" i="107"/>
  <c r="D171" i="107"/>
  <c r="H171" i="107" s="1"/>
  <c r="D165" i="107"/>
  <c r="H159" i="107"/>
  <c r="K69" i="107"/>
  <c r="K70" i="107"/>
  <c r="E26" i="107" s="1"/>
  <c r="D9" i="128" l="1"/>
  <c r="E9" i="128"/>
  <c r="E47" i="107"/>
  <c r="E44" i="107"/>
  <c r="H44" i="107" s="1"/>
  <c r="E38" i="107"/>
  <c r="E37" i="107"/>
  <c r="E27" i="107"/>
  <c r="H27" i="107" s="1"/>
  <c r="H26" i="107"/>
  <c r="D169" i="107"/>
  <c r="H165" i="107"/>
  <c r="H166" i="107" s="1"/>
  <c r="G132" i="123" l="1"/>
  <c r="H132" i="123" s="1"/>
  <c r="G228" i="118"/>
  <c r="H228" i="118" s="1"/>
  <c r="G122" i="118"/>
  <c r="H122" i="118" s="1"/>
  <c r="G47" i="107"/>
  <c r="H47" i="107" s="1"/>
  <c r="G202" i="118"/>
  <c r="H202" i="118" s="1"/>
  <c r="G178" i="118"/>
  <c r="H178" i="118" s="1"/>
  <c r="G78" i="107"/>
  <c r="H78" i="107" s="1"/>
  <c r="G42" i="107"/>
  <c r="H42" i="107" s="1"/>
  <c r="G49" i="107"/>
  <c r="H49" i="107" s="1"/>
  <c r="G45" i="107"/>
  <c r="H45" i="107" s="1"/>
  <c r="G109" i="107"/>
  <c r="H109" i="107" s="1"/>
  <c r="G111" i="107"/>
  <c r="H111" i="107" s="1"/>
  <c r="H30" i="107"/>
  <c r="G164" i="123"/>
  <c r="H164" i="123" s="1"/>
  <c r="G82" i="123"/>
  <c r="H82" i="123" s="1"/>
  <c r="G56" i="123"/>
  <c r="H56" i="123" s="1"/>
  <c r="G107" i="123"/>
  <c r="H107" i="123" s="1"/>
  <c r="G29" i="123"/>
  <c r="H29" i="123" s="1"/>
  <c r="G118" i="121"/>
  <c r="H118" i="121" s="1"/>
  <c r="G94" i="121"/>
  <c r="H94" i="121" s="1"/>
  <c r="G160" i="121"/>
  <c r="H160" i="121" s="1"/>
  <c r="G40" i="121"/>
  <c r="H40" i="121" s="1"/>
  <c r="G17" i="121"/>
  <c r="H17" i="121" s="1"/>
  <c r="G207" i="121"/>
  <c r="H207" i="121" s="1"/>
  <c r="G141" i="121"/>
  <c r="H141" i="121" s="1"/>
  <c r="G62" i="121"/>
  <c r="H62" i="121" s="1"/>
  <c r="G234" i="121"/>
  <c r="H234" i="121" s="1"/>
  <c r="G42" i="121"/>
  <c r="H42" i="121" s="1"/>
  <c r="G403" i="118"/>
  <c r="H403" i="118" s="1"/>
  <c r="G314" i="118"/>
  <c r="H314" i="118" s="1"/>
  <c r="G359" i="118"/>
  <c r="H359" i="118" s="1"/>
  <c r="G77" i="118"/>
  <c r="H77" i="118" s="1"/>
  <c r="G99" i="118"/>
  <c r="H99" i="118" s="1"/>
  <c r="G338" i="118"/>
  <c r="H338" i="118" s="1"/>
  <c r="G259" i="118"/>
  <c r="H259" i="118" s="1"/>
  <c r="G54" i="118"/>
  <c r="H54" i="118" s="1"/>
  <c r="G312" i="118"/>
  <c r="H312" i="118" s="1"/>
  <c r="G378" i="118"/>
  <c r="H378" i="118" s="1"/>
  <c r="G282" i="118"/>
  <c r="H282" i="118" s="1"/>
  <c r="G31" i="118"/>
  <c r="H31" i="118" s="1"/>
  <c r="G274" i="107"/>
  <c r="H274" i="107" s="1"/>
  <c r="G172" i="107"/>
  <c r="H172" i="107" s="1"/>
  <c r="G202" i="107"/>
  <c r="H202" i="107" s="1"/>
  <c r="G229" i="107"/>
  <c r="H229" i="107" s="1"/>
  <c r="H19" i="121" l="1"/>
  <c r="H21" i="121" s="1"/>
  <c r="H22" i="121" s="1"/>
  <c r="D5" i="27" l="1"/>
  <c r="B53" i="91" l="1"/>
  <c r="C53" i="91" s="1"/>
  <c r="G177" i="118" l="1"/>
  <c r="H177" i="118" s="1"/>
  <c r="H180" i="118" s="1"/>
  <c r="H181" i="118" s="1"/>
  <c r="H182" i="118" s="1"/>
  <c r="H171" i="118" s="1"/>
  <c r="D39" i="97" s="1"/>
  <c r="G223" i="118"/>
  <c r="H223" i="118" s="1"/>
  <c r="G128" i="123"/>
  <c r="H128" i="123" s="1"/>
  <c r="G224" i="118"/>
  <c r="H224" i="118" s="1"/>
  <c r="G197" i="118"/>
  <c r="H197" i="118" s="1"/>
  <c r="G118" i="118"/>
  <c r="H118" i="118" s="1"/>
  <c r="G37" i="107"/>
  <c r="H37" i="107" s="1"/>
  <c r="G35" i="107"/>
  <c r="H35" i="107" s="1"/>
  <c r="G33" i="107"/>
  <c r="H33" i="107" s="1"/>
  <c r="G39" i="107"/>
  <c r="H39" i="107" s="1"/>
  <c r="G73" i="107"/>
  <c r="H73" i="107" s="1"/>
  <c r="G104" i="107"/>
  <c r="H104" i="107" s="1"/>
  <c r="G102" i="107"/>
  <c r="H102" i="107" s="1"/>
  <c r="G38" i="107"/>
  <c r="H38" i="107" s="1"/>
  <c r="G198" i="118"/>
  <c r="H198" i="118" s="1"/>
  <c r="G129" i="123"/>
  <c r="H129" i="123" s="1"/>
  <c r="G225" i="118"/>
  <c r="H225" i="118" s="1"/>
  <c r="G119" i="118"/>
  <c r="H119" i="118" s="1"/>
  <c r="G34" i="107"/>
  <c r="H34" i="107" s="1"/>
  <c r="G36" i="107"/>
  <c r="H36" i="107" s="1"/>
  <c r="G74" i="107"/>
  <c r="H74" i="107" s="1"/>
  <c r="G105" i="107"/>
  <c r="H105" i="107" s="1"/>
  <c r="G103" i="107"/>
  <c r="H103" i="107" s="1"/>
  <c r="G40" i="107"/>
  <c r="H40" i="107" s="1"/>
  <c r="G160" i="123"/>
  <c r="H160" i="123" s="1"/>
  <c r="G159" i="123"/>
  <c r="H159" i="123" s="1"/>
  <c r="G26" i="123"/>
  <c r="H26" i="123" s="1"/>
  <c r="G25" i="123"/>
  <c r="H25" i="123" s="1"/>
  <c r="G53" i="123"/>
  <c r="H53" i="123" s="1"/>
  <c r="G103" i="123"/>
  <c r="H103" i="123" s="1"/>
  <c r="G77" i="123"/>
  <c r="H77" i="123" s="1"/>
  <c r="G115" i="121"/>
  <c r="H115" i="121" s="1"/>
  <c r="G91" i="121"/>
  <c r="H91" i="121" s="1"/>
  <c r="G90" i="121"/>
  <c r="H90" i="121" s="1"/>
  <c r="G230" i="121"/>
  <c r="H230" i="121" s="1"/>
  <c r="G138" i="121"/>
  <c r="H138" i="121" s="1"/>
  <c r="G59" i="121"/>
  <c r="H59" i="121" s="1"/>
  <c r="G38" i="121"/>
  <c r="H38" i="121" s="1"/>
  <c r="G203" i="121"/>
  <c r="H203" i="121" s="1"/>
  <c r="G36" i="121"/>
  <c r="H36" i="121" s="1"/>
  <c r="G229" i="121"/>
  <c r="H229" i="121" s="1"/>
  <c r="G204" i="121"/>
  <c r="H204" i="121" s="1"/>
  <c r="G157" i="121"/>
  <c r="H157" i="121" s="1"/>
  <c r="G58" i="121"/>
  <c r="H58" i="121" s="1"/>
  <c r="G37" i="121"/>
  <c r="H37" i="121" s="1"/>
  <c r="G398" i="118"/>
  <c r="H398" i="118" s="1"/>
  <c r="G399" i="118"/>
  <c r="H399" i="118" s="1"/>
  <c r="G50" i="118"/>
  <c r="H50" i="118" s="1"/>
  <c r="G255" i="118"/>
  <c r="H255" i="118" s="1"/>
  <c r="G73" i="118"/>
  <c r="H73" i="118" s="1"/>
  <c r="G353" i="118"/>
  <c r="H353" i="118" s="1"/>
  <c r="G375" i="118"/>
  <c r="H375" i="118" s="1"/>
  <c r="G279" i="118"/>
  <c r="H279" i="118" s="1"/>
  <c r="G28" i="118"/>
  <c r="H28" i="118" s="1"/>
  <c r="G306" i="118"/>
  <c r="H306" i="118" s="1"/>
  <c r="G304" i="118"/>
  <c r="H304" i="118" s="1"/>
  <c r="G332" i="118"/>
  <c r="H332" i="118" s="1"/>
  <c r="G96" i="118"/>
  <c r="H96" i="118" s="1"/>
  <c r="G161" i="123"/>
  <c r="H161" i="123" s="1"/>
  <c r="G27" i="123"/>
  <c r="H27" i="123" s="1"/>
  <c r="G54" i="123"/>
  <c r="H54" i="123" s="1"/>
  <c r="G104" i="123"/>
  <c r="H104" i="123" s="1"/>
  <c r="G78" i="123"/>
  <c r="H78" i="123" s="1"/>
  <c r="G116" i="121"/>
  <c r="H116" i="121" s="1"/>
  <c r="G92" i="121"/>
  <c r="H92" i="121" s="1"/>
  <c r="G231" i="121"/>
  <c r="H231" i="121" s="1"/>
  <c r="G139" i="121"/>
  <c r="H139" i="121" s="1"/>
  <c r="G60" i="121"/>
  <c r="H60" i="121" s="1"/>
  <c r="G205" i="121"/>
  <c r="H205" i="121" s="1"/>
  <c r="G158" i="121"/>
  <c r="H158" i="121" s="1"/>
  <c r="G400" i="118"/>
  <c r="H400" i="118" s="1"/>
  <c r="G354" i="118"/>
  <c r="H354" i="118" s="1"/>
  <c r="G376" i="118"/>
  <c r="H376" i="118" s="1"/>
  <c r="G307" i="118"/>
  <c r="H307" i="118" s="1"/>
  <c r="G305" i="118"/>
  <c r="H305" i="118" s="1"/>
  <c r="G280" i="118"/>
  <c r="H280" i="118" s="1"/>
  <c r="G51" i="118"/>
  <c r="H51" i="118" s="1"/>
  <c r="G333" i="118"/>
  <c r="H333" i="118" s="1"/>
  <c r="G97" i="118"/>
  <c r="H97" i="118" s="1"/>
  <c r="G256" i="118"/>
  <c r="H256" i="118" s="1"/>
  <c r="G74" i="118"/>
  <c r="H74" i="118" s="1"/>
  <c r="G225" i="107"/>
  <c r="H225" i="107" s="1"/>
  <c r="G168" i="107"/>
  <c r="H168" i="107" s="1"/>
  <c r="G271" i="107"/>
  <c r="H271" i="107" s="1"/>
  <c r="G226" i="107"/>
  <c r="H226" i="107" s="1"/>
  <c r="G197" i="107"/>
  <c r="H197" i="107" s="1"/>
  <c r="G198" i="107"/>
  <c r="H198" i="107" s="1"/>
  <c r="G270" i="107"/>
  <c r="H270" i="107" s="1"/>
  <c r="G227" i="107"/>
  <c r="H227" i="107" s="1"/>
  <c r="G272" i="107"/>
  <c r="H272" i="107" s="1"/>
  <c r="G199" i="107"/>
  <c r="H199" i="107" s="1"/>
  <c r="G169" i="107"/>
  <c r="H169" i="107" s="1"/>
  <c r="H230" i="118" l="1"/>
  <c r="H231" i="118" s="1"/>
  <c r="H232" i="118" s="1"/>
  <c r="H241" i="118" s="1"/>
  <c r="H209" i="118" s="1"/>
  <c r="D42" i="97" s="1"/>
  <c r="H276" i="107"/>
  <c r="H204" i="118"/>
  <c r="H205" i="118" s="1"/>
  <c r="H206" i="118" s="1"/>
  <c r="H185" i="118" s="1"/>
  <c r="D40" i="97" s="1"/>
  <c r="H113" i="107"/>
  <c r="H115" i="107" s="1"/>
  <c r="H117" i="107" s="1"/>
  <c r="H87" i="107" s="1"/>
  <c r="D7" i="97" s="1"/>
  <c r="H80" i="107"/>
  <c r="H82" i="107" s="1"/>
  <c r="H51" i="107"/>
  <c r="H53" i="107" s="1"/>
  <c r="H124" i="118"/>
  <c r="H125" i="118" s="1"/>
  <c r="H126" i="118" s="1"/>
  <c r="H106" i="118" s="1"/>
  <c r="D37" i="97" s="1"/>
  <c r="H134" i="123"/>
  <c r="H135" i="123" s="1"/>
  <c r="H136" i="123" s="1"/>
  <c r="H116" i="123" s="1"/>
  <c r="D11" i="122" s="1"/>
  <c r="H236" i="121"/>
  <c r="H238" i="121" s="1"/>
  <c r="H239" i="121" s="1"/>
  <c r="H215" i="121" s="1"/>
  <c r="D57" i="97" s="1"/>
  <c r="H316" i="118"/>
  <c r="H317" i="118" s="1"/>
  <c r="H318" i="118" s="1"/>
  <c r="H289" i="118" s="1"/>
  <c r="D45" i="97" s="1"/>
  <c r="H174" i="107"/>
  <c r="H176" i="107" s="1"/>
  <c r="H177" i="107" s="1"/>
  <c r="H178" i="107" s="1"/>
  <c r="H154" i="107" s="1"/>
  <c r="D10" i="97" s="1"/>
  <c r="H231" i="107"/>
  <c r="H233" i="107" s="1"/>
  <c r="H204" i="107"/>
  <c r="H206" i="107" s="1"/>
  <c r="H207" i="107" s="1"/>
  <c r="H181" i="107" s="1"/>
  <c r="D11" i="97" s="1"/>
  <c r="H142" i="123"/>
  <c r="H139" i="123" s="1"/>
  <c r="D12" i="122" s="1"/>
  <c r="H166" i="123"/>
  <c r="H168" i="123" s="1"/>
  <c r="H169" i="123" s="1"/>
  <c r="H170" i="123" s="1"/>
  <c r="H145" i="123" s="1"/>
  <c r="D13" i="122" s="1"/>
  <c r="H84" i="123"/>
  <c r="H86" i="123" s="1"/>
  <c r="H87" i="123" s="1"/>
  <c r="H88" i="123" s="1"/>
  <c r="H65" i="123" s="1"/>
  <c r="D9" i="122" s="1"/>
  <c r="H109" i="123"/>
  <c r="H111" i="123" s="1"/>
  <c r="H112" i="123" s="1"/>
  <c r="H113" i="123" s="1"/>
  <c r="H91" i="123" s="1"/>
  <c r="D10" i="122" s="1"/>
  <c r="H58" i="123"/>
  <c r="H60" i="123" s="1"/>
  <c r="H61" i="123" s="1"/>
  <c r="H62" i="123" s="1"/>
  <c r="H41" i="123" s="1"/>
  <c r="D8" i="122" s="1"/>
  <c r="H31" i="123"/>
  <c r="H33" i="123" s="1"/>
  <c r="H209" i="121"/>
  <c r="H211" i="121" s="1"/>
  <c r="H212" i="121" s="1"/>
  <c r="H188" i="121" s="1"/>
  <c r="D56" i="97" s="1"/>
  <c r="H162" i="121"/>
  <c r="H164" i="121" s="1"/>
  <c r="H165" i="121" s="1"/>
  <c r="H166" i="121" s="1"/>
  <c r="H143" i="121"/>
  <c r="H145" i="121" s="1"/>
  <c r="H146" i="121" s="1"/>
  <c r="H120" i="121"/>
  <c r="H122" i="121" s="1"/>
  <c r="H123" i="121" s="1"/>
  <c r="H102" i="121" s="1"/>
  <c r="D53" i="97" s="1"/>
  <c r="H96" i="121"/>
  <c r="H98" i="121" s="1"/>
  <c r="H99" i="121" s="1"/>
  <c r="H73" i="121" s="1"/>
  <c r="D52" i="97" s="1"/>
  <c r="H64" i="121"/>
  <c r="H66" i="121" s="1"/>
  <c r="H68" i="121" s="1"/>
  <c r="H69" i="121" s="1"/>
  <c r="H44" i="121"/>
  <c r="H46" i="121" s="1"/>
  <c r="H47" i="121" s="1"/>
  <c r="H101" i="118"/>
  <c r="H102" i="118" s="1"/>
  <c r="H103" i="118" s="1"/>
  <c r="H84" i="118" s="1"/>
  <c r="D36" i="97" s="1"/>
  <c r="H405" i="118"/>
  <c r="H406" i="118" s="1"/>
  <c r="H407" i="118" s="1"/>
  <c r="H385" i="118" s="1"/>
  <c r="D48" i="97" s="1"/>
  <c r="H380" i="118"/>
  <c r="H381" i="118" s="1"/>
  <c r="H382" i="118" s="1"/>
  <c r="H367" i="118" s="1"/>
  <c r="D47" i="97" s="1"/>
  <c r="H56" i="118"/>
  <c r="H57" i="118" s="1"/>
  <c r="H58" i="118" s="1"/>
  <c r="H38" i="118" s="1"/>
  <c r="D34" i="97" s="1"/>
  <c r="H340" i="118"/>
  <c r="H341" i="118" s="1"/>
  <c r="H342" i="118" s="1"/>
  <c r="H343" i="118" s="1"/>
  <c r="H361" i="118"/>
  <c r="H362" i="118" s="1"/>
  <c r="H284" i="118"/>
  <c r="H285" i="118" s="1"/>
  <c r="H286" i="118" s="1"/>
  <c r="H267" i="118" s="1"/>
  <c r="D44" i="97" s="1"/>
  <c r="H261" i="118"/>
  <c r="H262" i="118" s="1"/>
  <c r="H263" i="118" s="1"/>
  <c r="H264" i="118" s="1"/>
  <c r="H244" i="118" s="1"/>
  <c r="D43" i="97" s="1"/>
  <c r="H79" i="118"/>
  <c r="H33" i="118"/>
  <c r="H80" i="118" l="1"/>
  <c r="H81" i="118" s="1"/>
  <c r="H61" i="118" s="1"/>
  <c r="D35" i="97" s="1"/>
  <c r="H167" i="121"/>
  <c r="H126" i="121" s="1"/>
  <c r="D54" i="97" s="1"/>
  <c r="H363" i="118"/>
  <c r="H364" i="118" s="1"/>
  <c r="H321" i="118" s="1"/>
  <c r="D46" i="97" s="1"/>
  <c r="H34" i="118"/>
  <c r="H35" i="118" s="1"/>
  <c r="H18" i="118" s="1"/>
  <c r="D32" i="97" s="1"/>
  <c r="H70" i="121"/>
  <c r="H3" i="121" s="1"/>
  <c r="D51" i="97" s="1"/>
  <c r="G234" i="107"/>
  <c r="H235" i="107" s="1"/>
  <c r="H210" i="107" s="1"/>
  <c r="D12" i="97" s="1"/>
  <c r="D58" i="97" l="1"/>
  <c r="P7" i="128"/>
  <c r="P6" i="128" s="1"/>
  <c r="T7" i="128"/>
  <c r="T6" i="128" s="1"/>
  <c r="X7" i="128"/>
  <c r="X6" i="128" s="1"/>
  <c r="AB7" i="128"/>
  <c r="AB6" i="128" s="1"/>
  <c r="AF7" i="128"/>
  <c r="AF6" i="128" s="1"/>
  <c r="M7" i="128"/>
  <c r="M6" i="128" s="1"/>
  <c r="O7" i="128"/>
  <c r="O6" i="128" s="1"/>
  <c r="W7" i="128"/>
  <c r="W6" i="128" s="1"/>
  <c r="AE7" i="128"/>
  <c r="AE6" i="128" s="1"/>
  <c r="Q7" i="128"/>
  <c r="Q6" i="128" s="1"/>
  <c r="U7" i="128"/>
  <c r="U6" i="128" s="1"/>
  <c r="Y7" i="128"/>
  <c r="Y6" i="128" s="1"/>
  <c r="AC7" i="128"/>
  <c r="AC6" i="128" s="1"/>
  <c r="AG7" i="128"/>
  <c r="AG6" i="128" s="1"/>
  <c r="N7" i="128"/>
  <c r="N6" i="128" s="1"/>
  <c r="R7" i="128"/>
  <c r="R6" i="128" s="1"/>
  <c r="V7" i="128"/>
  <c r="V6" i="128" s="1"/>
  <c r="Z7" i="128"/>
  <c r="Z6" i="128" s="1"/>
  <c r="AD7" i="128"/>
  <c r="AD6" i="128" s="1"/>
  <c r="AH7" i="128"/>
  <c r="AH6" i="128" s="1"/>
  <c r="S7" i="128"/>
  <c r="S6" i="128" s="1"/>
  <c r="AA7" i="128"/>
  <c r="AA6" i="128" s="1"/>
  <c r="AI7" i="128"/>
  <c r="AI6" i="128" s="1"/>
  <c r="D49" i="97"/>
  <c r="D13" i="128" l="1"/>
  <c r="E13" i="128"/>
  <c r="C8" i="130" s="1"/>
  <c r="H12" i="128"/>
  <c r="G12" i="128"/>
  <c r="J12" i="128"/>
  <c r="I12" i="128"/>
  <c r="K12" i="128"/>
  <c r="D8" i="127"/>
  <c r="E8" i="127"/>
  <c r="C14" i="130" s="1"/>
  <c r="D6" i="27" l="1"/>
  <c r="D7" i="27"/>
  <c r="D8" i="27"/>
  <c r="D9" i="27"/>
  <c r="D10" i="27"/>
  <c r="G54" i="107" s="1"/>
  <c r="H55" i="107" s="1"/>
  <c r="H3" i="107" s="1"/>
  <c r="D5" i="97" s="1"/>
  <c r="D11" i="27"/>
  <c r="D12" i="27"/>
  <c r="D13" i="27"/>
  <c r="D14" i="27"/>
  <c r="D15" i="27"/>
  <c r="D16" i="27"/>
  <c r="G83" i="107" s="1"/>
  <c r="H84" i="107" s="1"/>
  <c r="H58" i="107" s="1"/>
  <c r="D6" i="97" s="1"/>
  <c r="G34" i="123" l="1"/>
  <c r="H35" i="123" s="1"/>
  <c r="H36" i="123" s="1"/>
  <c r="H4" i="123" s="1"/>
  <c r="D5" i="122" s="1"/>
  <c r="D6" i="122" s="1"/>
  <c r="G279" i="107"/>
  <c r="H280" i="107" s="1"/>
  <c r="H256" i="107" s="1"/>
  <c r="D14" i="97" s="1"/>
  <c r="D15" i="97" s="1"/>
  <c r="I7" i="128"/>
  <c r="I6" i="128" s="1"/>
  <c r="J7" i="128"/>
  <c r="J6" i="128" s="1"/>
  <c r="K7" i="128"/>
  <c r="K6" i="128" s="1"/>
  <c r="L7" i="128"/>
  <c r="L6" i="128" s="1"/>
  <c r="F8" i="128" l="1"/>
  <c r="F7" i="128" s="1"/>
  <c r="F6" i="128" s="1"/>
  <c r="D12" i="128"/>
  <c r="E12" i="128"/>
  <c r="E15" i="122" l="1"/>
  <c r="I6" i="127"/>
  <c r="I5" i="127" s="1"/>
  <c r="M6" i="127"/>
  <c r="M5" i="127" s="1"/>
  <c r="Q6" i="127"/>
  <c r="Q5" i="127" s="1"/>
  <c r="U6" i="127"/>
  <c r="U5" i="127" s="1"/>
  <c r="Y6" i="127"/>
  <c r="Y5" i="127" s="1"/>
  <c r="AC6" i="127"/>
  <c r="AC5" i="127" s="1"/>
  <c r="AG6" i="127"/>
  <c r="AG5" i="127" s="1"/>
  <c r="J6" i="127"/>
  <c r="J5" i="127" s="1"/>
  <c r="N6" i="127"/>
  <c r="N5" i="127" s="1"/>
  <c r="R6" i="127"/>
  <c r="R5" i="127" s="1"/>
  <c r="V6" i="127"/>
  <c r="V5" i="127" s="1"/>
  <c r="Z6" i="127"/>
  <c r="Z5" i="127" s="1"/>
  <c r="AD6" i="127"/>
  <c r="AD5" i="127" s="1"/>
  <c r="AH6" i="127"/>
  <c r="AH5" i="127" s="1"/>
  <c r="G6" i="127"/>
  <c r="G5" i="127" s="1"/>
  <c r="K6" i="127"/>
  <c r="K5" i="127" s="1"/>
  <c r="O6" i="127"/>
  <c r="O5" i="127" s="1"/>
  <c r="S6" i="127"/>
  <c r="S5" i="127" s="1"/>
  <c r="W6" i="127"/>
  <c r="W5" i="127" s="1"/>
  <c r="AA6" i="127"/>
  <c r="AA5" i="127" s="1"/>
  <c r="AE6" i="127"/>
  <c r="AE5" i="127" s="1"/>
  <c r="AI6" i="127"/>
  <c r="AI5" i="127" s="1"/>
  <c r="H6" i="127"/>
  <c r="H5" i="127" s="1"/>
  <c r="L6" i="127"/>
  <c r="L5" i="127" s="1"/>
  <c r="P6" i="127"/>
  <c r="P5" i="127" s="1"/>
  <c r="T6" i="127"/>
  <c r="T5" i="127" s="1"/>
  <c r="X6" i="127"/>
  <c r="X5" i="127" s="1"/>
  <c r="AB6" i="127"/>
  <c r="AB5" i="127" s="1"/>
  <c r="AF6" i="127"/>
  <c r="AF5" i="127" s="1"/>
  <c r="D8" i="128"/>
  <c r="E8" i="128"/>
  <c r="XFD29" i="97"/>
  <c r="H7" i="128"/>
  <c r="H6" i="128" s="1"/>
  <c r="E7" i="127" l="1"/>
  <c r="C13" i="130" s="1"/>
  <c r="C15" i="130" s="1"/>
  <c r="D7" i="127"/>
  <c r="F6" i="127"/>
  <c r="E11" i="128"/>
  <c r="D11" i="128"/>
  <c r="G7" i="128"/>
  <c r="E7" i="128" l="1"/>
  <c r="C6" i="130"/>
  <c r="C9" i="130" s="1"/>
  <c r="F5" i="127"/>
  <c r="E6" i="127"/>
  <c r="D6" i="127"/>
  <c r="G6" i="128"/>
  <c r="D7" i="128"/>
  <c r="E5" i="127" l="1"/>
  <c r="D5" i="127"/>
  <c r="D6" i="128"/>
  <c r="E6" i="128"/>
</calcChain>
</file>

<file path=xl/sharedStrings.xml><?xml version="1.0" encoding="utf-8"?>
<sst xmlns="http://schemas.openxmlformats.org/spreadsheetml/2006/main" count="3164" uniqueCount="1055">
  <si>
    <t>QUADRO 4B - DESPESAS OPERACIONAIS E NÃO OPERACIONAIS</t>
  </si>
  <si>
    <t>Valores em R$ mil</t>
  </si>
  <si>
    <t>Descrição</t>
  </si>
  <si>
    <t>VPL (rate=8,68%)</t>
  </si>
  <si>
    <t>TOTAL</t>
  </si>
  <si>
    <t>SOCIOAMBIENTAL</t>
  </si>
  <si>
    <t>5.1</t>
  </si>
  <si>
    <t>Licenciamento Ambiental</t>
  </si>
  <si>
    <t>5.2</t>
  </si>
  <si>
    <t>Gerenciamento Ambiental em Fase de Operação</t>
  </si>
  <si>
    <t>QUADRO 9B - IMOBILIZADO / INVESTIMENTOS</t>
  </si>
  <si>
    <t>3A</t>
  </si>
  <si>
    <t/>
  </si>
  <si>
    <t>Total</t>
  </si>
  <si>
    <t>6.1</t>
  </si>
  <si>
    <t>6.2</t>
  </si>
  <si>
    <t>Atividades de Licenciamento Ambiental</t>
  </si>
  <si>
    <t>6.3</t>
  </si>
  <si>
    <t>Obras de Engenharia para Mitigação Ambiental</t>
  </si>
  <si>
    <t>6.4</t>
  </si>
  <si>
    <t>Plantios Compensatórios</t>
  </si>
  <si>
    <t>6.5</t>
  </si>
  <si>
    <t>6.6</t>
  </si>
  <si>
    <t xml:space="preserve">Desapropriação </t>
  </si>
  <si>
    <t>6.7</t>
  </si>
  <si>
    <t>Programas Socioambientais da Fase de Ampliação e Melhorias</t>
  </si>
  <si>
    <t>6.8</t>
  </si>
  <si>
    <t xml:space="preserve">Atendimento aos Requisitos Contrato </t>
  </si>
  <si>
    <t>Nº</t>
  </si>
  <si>
    <t>ATIVIDADE</t>
  </si>
  <si>
    <t>PREMISSAS</t>
  </si>
  <si>
    <t>VALOR (R$)</t>
  </si>
  <si>
    <t>OBSERVAÇÃO</t>
  </si>
  <si>
    <t>1.</t>
  </si>
  <si>
    <t>1.1</t>
  </si>
  <si>
    <t>1.2</t>
  </si>
  <si>
    <t>N.A.</t>
  </si>
  <si>
    <t>Subtotal 1:</t>
  </si>
  <si>
    <t>2.</t>
  </si>
  <si>
    <t>2.1</t>
  </si>
  <si>
    <t>2.2</t>
  </si>
  <si>
    <t>2.3</t>
  </si>
  <si>
    <t>Outorgas de Recursos Hídricos</t>
  </si>
  <si>
    <t>Equipe técnica para elaboração dos documentos para solicitação de Outorga junto ao DAEE/SP e Termos de Referência associados. Inclui as Taxas de Licenciamento.</t>
  </si>
  <si>
    <t>Obtenção de Autorização junto ao Município interceptado</t>
  </si>
  <si>
    <t>Considera a elaboração de relatório técnico do Estudo de Impacto de Vizinhança - EIV e Relatório de Impacto de Vizinhança - RIV.</t>
  </si>
  <si>
    <t xml:space="preserve">Custos para realização de serviços de investigação confirmatória de área que forem classificadas como suspeitas de contaminação pela Avaliação Preliminar realizada na etapa de Licença Prévia, com base na Decisão de Diretoria CETESB Nº 038/2017/C. </t>
  </si>
  <si>
    <t>Custos contemplam a alocação de equipe técnica para elaboração de requerimento de Licença de Operação. Inclui as Taxas de Licenciamento, conforme Decreto Nº 62.973/2017.</t>
  </si>
  <si>
    <t>2.4</t>
  </si>
  <si>
    <t>2.5</t>
  </si>
  <si>
    <t>2.6</t>
  </si>
  <si>
    <t>Subtotal 2:</t>
  </si>
  <si>
    <t>3.</t>
  </si>
  <si>
    <t>3.1</t>
  </si>
  <si>
    <t xml:space="preserve">Implantação de Caixas de Contenção de Produtos Perigosos </t>
  </si>
  <si>
    <t>Subtotal 3:</t>
  </si>
  <si>
    <t>4.</t>
  </si>
  <si>
    <t>5.</t>
  </si>
  <si>
    <t>Verba de 0,5% dos custos totais de obra, de acordo com o disposto na Lei Federal nº 9.985/2000 (Art. 36) e no Decreto Federal nº 4.340/2002 (Art. 31 a 33).</t>
  </si>
  <si>
    <t>Subtotal 5:</t>
  </si>
  <si>
    <t>6.</t>
  </si>
  <si>
    <t>Subtotal 6:</t>
  </si>
  <si>
    <t>7.</t>
  </si>
  <si>
    <t>7.1</t>
  </si>
  <si>
    <t>Considera equipe técnica fixa, com carga horária mensal, responsável pela supervisão ambiental das obras e pela consolidação dos Relatórios Periódicos para o órgão ambiental.</t>
  </si>
  <si>
    <t>O Programa se refere ao controle ambiental geral das atividades de construção. Engloba custos de infratestrutura do Canteiro de Obras e Área de Vivência para garantia desse controle (Central de Resíduos, área de armazenamento de produtos químicos, banheiros químicos e fossa séptica para efluentes domésticos, entre outros), sinalização de tráfego nas frentes de obra, bem como materiais e equipamentos de construção para execução de controles ambientais (correção de processos erosivos, kits de mitigação de vazamentos, entre outros). Também inclui a equipe de meio ambiente e saúde e segurança da construtora.</t>
  </si>
  <si>
    <t>Considera equipe técnica responsável pelo cadastro, monitoramento e controle dos processos erosivos. Consideraram-se campanhas quadrimestrais.</t>
  </si>
  <si>
    <t>Considera equipe técnica responsável pela coleta, bem como os custos decorrentes de análises laboratoriais em pontos de controles. Consideraram-se campanhas quadrimestrais.</t>
  </si>
  <si>
    <t xml:space="preserve">Os custos relacionados ao controle e mitigação dos impactos nos recursos hídricos é realizado por meio de ações de engenharia, tais como recuperação de feições erosivas para evitar carreamento de material, implantação de bacias de contenção para evitar carreamento de materiais poluentes para os corpos d'água, entre outros. Portanto, esses custos estão incluídos no CAPEX de Obra. </t>
  </si>
  <si>
    <t>Programa de Monitoramento da Qualidade do Ar</t>
  </si>
  <si>
    <t xml:space="preserve">Considera equipe técnica e equipamento para monitoramento da qualidade do ar (Material Particulado), em campanhas quadrimestrais, nas áreas de Usinas de Asfalto e Conceto que eventualmente forem instaladas pelas empresas construtoras. </t>
  </si>
  <si>
    <t xml:space="preserve">Considera equipe responsável para o acompanhamento da supressão de vegetação, em conformidade com os controles ambientais a serem definidos no Plano de Controle Ambiental. </t>
  </si>
  <si>
    <t xml:space="preserve">Custos consideram a equipe que acompanhará o desenvolvimento do Plantio Compensatório e consolidará as informações para o órgão ambiental. </t>
  </si>
  <si>
    <t>Programa de Comunicação Social</t>
  </si>
  <si>
    <t>Campanhas quadrimestrais de comunicação social e engajamento de partes interessadas, bem como a manutenção de Canal de Ouvidoria para as obras.</t>
  </si>
  <si>
    <t>Campanhas quadrimestrais de Educação Ambiental com temas direcionados aos trabalhadores empregados, parceiros e terceirizados envolvidos nas atividades do empreendimento.</t>
  </si>
  <si>
    <t xml:space="preserve">Considera uma equipe técnica responsável pelo acompanhamento do processo de desapropriação e criação de canal de consulta à população afetada e elaboração de relatório técnico. </t>
  </si>
  <si>
    <t>7.2</t>
  </si>
  <si>
    <t>7.3</t>
  </si>
  <si>
    <t>Programa de Educação Patrimonial</t>
  </si>
  <si>
    <t xml:space="preserve">Atividades quadrimestrais de Educação Patrimonial, junto às partes interessadas de interesse definidas no Programa de Gestão do Patrimônio Histórico, Cultural e Arqueológico. </t>
  </si>
  <si>
    <t>Programa específico para as obras de melhoramento enquadradas em Nível III. 
Não foram considerados custos com resgate de sítios arqueológicos que eventualmente podem ser identificados nas obras, uma vez que não é possível estimar a existência dos mesmos no nível atual de desenvolvimento dos estudos. De qualquer forma, como alternativa à esse risco, o Contrato de Concessão deverá regrar que eventuais descobertas arqueológicas devem ser risco do Poder Condedente.</t>
  </si>
  <si>
    <t>Subtotal 7:</t>
  </si>
  <si>
    <t>Implantação de Sistema de Gestão Ambiental e de Saúde e Segurança do Trabalho, com base na ISO 14.001/2015 e na ISO 45.001/2015</t>
  </si>
  <si>
    <t>Custos consideram a alocação de equipe técnica para implantação dos Sistemas de Gestão.</t>
  </si>
  <si>
    <t>Elaboração do Programa de Gerenciamento de Riscos - PGR e Plano de Atendimento a Emergências - PAE</t>
  </si>
  <si>
    <t>Considera a alocação de equipe técnica para elaboração do PGR/PAE, com base nas diretrizes da Decisão de Diretoria CETESB Nº 70/2016/C.</t>
  </si>
  <si>
    <t>Elaboração de Estudo de Análise de Risco</t>
  </si>
  <si>
    <t>Considera equipe técnica para elaboração de um Estudo de Análise de Riscos, exigido no Anexo 06 do Contrato de Concessão.</t>
  </si>
  <si>
    <t>Elaboração e Atualização do Inventário de Gases de Efeito Estufa - GEE</t>
  </si>
  <si>
    <t>Considera equipe técnica para elaboração do inventário, considerando os escopos 1, 2 e 3.</t>
  </si>
  <si>
    <t>Inventário deverá ser realizado anualmente.</t>
  </si>
  <si>
    <t xml:space="preserve">Análise de Risco de Desastres Naturais e Mudanças Climáticas </t>
  </si>
  <si>
    <t>Equipe técnica especializada para elaboração da Análise de Risco, contendo a coleta de dados e informações, estudo de risco e a proposta para o gerenciamento desses riscos.</t>
  </si>
  <si>
    <t>Elaboração de Relatório de Sustentabilidade</t>
  </si>
  <si>
    <t>Equipe técnica especializada para elaboração de Relatório de Sustentabilidade, conforme framework a ser definido pela Concessionária.</t>
  </si>
  <si>
    <t>Relatório deverá ser realizado anualmente.</t>
  </si>
  <si>
    <t>CUSTOS TOTAIS</t>
  </si>
  <si>
    <t>ATIVIDADE DE LICENCIAMENTO AMBIENTAL</t>
  </si>
  <si>
    <t>Programa de Supervisão Ambiental da Operação</t>
  </si>
  <si>
    <t>Programa de Monitoramento da Qualidade da Água</t>
  </si>
  <si>
    <t>Programa de Monitoramento de Ruído e Vibrações</t>
  </si>
  <si>
    <t xml:space="preserve">Equipe responsável pela execução de Campanhas trimestrais junto às partes interessadas. </t>
  </si>
  <si>
    <t>CUSTO TOTA (ANUAL):</t>
  </si>
  <si>
    <t>Parâmetros:</t>
  </si>
  <si>
    <t>Valor:</t>
  </si>
  <si>
    <t>Extensão do Lote:</t>
  </si>
  <si>
    <t>Distância SP/São Carlos (Ida e Volta):</t>
  </si>
  <si>
    <t>Produtividade - Inspeção - Renovação de L.O (Km / dia):</t>
  </si>
  <si>
    <t>Discriminação</t>
  </si>
  <si>
    <t>Quant.</t>
  </si>
  <si>
    <t>Unidade</t>
  </si>
  <si>
    <t>Preço Unitário (R$/hora)</t>
  </si>
  <si>
    <t>Subtotal (R$)</t>
  </si>
  <si>
    <t>Total de Municípios Interceptados:</t>
  </si>
  <si>
    <t>Equipe Técnica - Gabinete</t>
  </si>
  <si>
    <t>35.03.20</t>
  </si>
  <si>
    <t>Coordenador</t>
  </si>
  <si>
    <t>hora</t>
  </si>
  <si>
    <t>Dias de Deslocamento da Equipe Técnica:</t>
  </si>
  <si>
    <t>35.03.38</t>
  </si>
  <si>
    <t>Engenheiro/Profissional Sênior (Coordenação Meio Físico)</t>
  </si>
  <si>
    <t>Horas Trabalhadas Escritório:</t>
  </si>
  <si>
    <t>35.03.32</t>
  </si>
  <si>
    <t>Engenheiro/Profissional Sênior (Coordenação Meio Biótico - Flora)</t>
  </si>
  <si>
    <t>Horas Trabalhadas Campo:</t>
  </si>
  <si>
    <t>Engenheiro/Profissional Sênior (Coordenação Meio Biótico - Fauna)</t>
  </si>
  <si>
    <t>Dias da Semana Trabalhados:</t>
  </si>
  <si>
    <t>35.03.29</t>
  </si>
  <si>
    <t>Engenheiro/Profissional Sênior (Coordenação Meio Socioeconômico)</t>
  </si>
  <si>
    <t>Semanas no mês:</t>
  </si>
  <si>
    <t>35.03.37</t>
  </si>
  <si>
    <t>Engenheiro/Profissional Pleno (Meio Físico)</t>
  </si>
  <si>
    <t>35.03.68</t>
  </si>
  <si>
    <t>Engenheiro/Profissional Pleno (Biótico - Flora)</t>
  </si>
  <si>
    <t>Duração da Atividade (meses):</t>
  </si>
  <si>
    <t>Engenheiro/Profissional Pleno (Biótico - Fauna )</t>
  </si>
  <si>
    <t>35.03.28</t>
  </si>
  <si>
    <t>Engenheiro/Profissional Pleno (Meio Socioeconômico)</t>
  </si>
  <si>
    <t>Produtividade (km) /dias Levantamento Atropelamento</t>
  </si>
  <si>
    <t>35.03.31</t>
  </si>
  <si>
    <t>Engenheiro/Profissional Pleno (Avaliação Ambiental)</t>
  </si>
  <si>
    <t>Despesas - Fauna Atropelada</t>
  </si>
  <si>
    <t>35.03.25</t>
  </si>
  <si>
    <t>Engenheiro/Profissional Pleno (SIG)</t>
  </si>
  <si>
    <t>Convênio com Clínicas Veterinárias:</t>
  </si>
  <si>
    <t>35.03.10</t>
  </si>
  <si>
    <t>Auxiliar de Escritório</t>
  </si>
  <si>
    <t>Convênio com Instituições de Pesquisa:</t>
  </si>
  <si>
    <t>Equipe Técnica - Campo</t>
  </si>
  <si>
    <t xml:space="preserve">Nº de Partes Interessadas / Município: </t>
  </si>
  <si>
    <t>Engenheiro/Profissional Pleno (Biótico - Fauna)</t>
  </si>
  <si>
    <t>Total de Partes Interessadas:</t>
  </si>
  <si>
    <t>35.04.41</t>
  </si>
  <si>
    <t xml:space="preserve">Motorista </t>
  </si>
  <si>
    <t xml:space="preserve">Nº de Partes Interessadas Abrangidas pela Campanha: </t>
  </si>
  <si>
    <t>Subtotal 1</t>
  </si>
  <si>
    <t>Dias de Campo / Programa de Comunicação Social</t>
  </si>
  <si>
    <t>Despesas Gerais</t>
  </si>
  <si>
    <t>Dias de Escritório / Programa de Comunicação Social</t>
  </si>
  <si>
    <t>Diárias - Profissional Pleno (Avaliação Ambiental)</t>
  </si>
  <si>
    <t>dia</t>
  </si>
  <si>
    <t>Nº Equipe / Ouvidoria:</t>
  </si>
  <si>
    <t>Diárias - Profissional Pleno (Biótico - Fauna)</t>
  </si>
  <si>
    <t>Dias de Campo / Diagnóstico Socioambiental Participativo:</t>
  </si>
  <si>
    <t>Diárias - Motorista</t>
  </si>
  <si>
    <t>Dias de Campo / Programa de Educação Ambiental</t>
  </si>
  <si>
    <t>Despesas de Escritório</t>
  </si>
  <si>
    <t>verba</t>
  </si>
  <si>
    <t>Dias de Escritório /  Diagnóstico Socioambiental Participativo:</t>
  </si>
  <si>
    <t xml:space="preserve">Veículo </t>
  </si>
  <si>
    <t>Dias de Escritório / Programa de Educação Ambiental</t>
  </si>
  <si>
    <t>Despesas Veículos</t>
  </si>
  <si>
    <t>Km</t>
  </si>
  <si>
    <t>Dias de Campo / Programa de Educação Ambiental Trabalhadores:</t>
  </si>
  <si>
    <t>Subtotal 2</t>
  </si>
  <si>
    <t>Despesas Material - Programa de Comunicação Social</t>
  </si>
  <si>
    <t>Custos Diretos</t>
  </si>
  <si>
    <t>Despesas Material - Programa de Educação Ambiental</t>
  </si>
  <si>
    <t>Subtotal</t>
  </si>
  <si>
    <t>Despesas Material - Programa de Educação Ambiental Trabalhadores:</t>
  </si>
  <si>
    <t>Taxas de Licenciamento - CETESB (Renovação de LO)</t>
  </si>
  <si>
    <t>CUSTO/REQUERIMENTO</t>
  </si>
  <si>
    <t>Nº de Pontos / Município</t>
  </si>
  <si>
    <t>CUSTO TOTAL (CONCESSÃO)</t>
  </si>
  <si>
    <t>Pontos Monitoramento de Ruído:</t>
  </si>
  <si>
    <t>Tempo de Monitoramento por Ponto (hora):</t>
  </si>
  <si>
    <t>Nº Pontos / dia (Escritório):</t>
  </si>
  <si>
    <t>Aluguel de Equipamento de Monitoramento Ruído / dia:</t>
  </si>
  <si>
    <t>Sub-Total (R$)</t>
  </si>
  <si>
    <t>Equipe Técnica</t>
  </si>
  <si>
    <t>Nº Drenagens Principais SP:</t>
  </si>
  <si>
    <t>Nº Drenagens Totais:</t>
  </si>
  <si>
    <t>Profissional Sênior (Coordenação Meio Biótico - Flora)</t>
  </si>
  <si>
    <t>Nº de Amostras / Ponto:</t>
  </si>
  <si>
    <t>Profissional Pleno (Biótico - Flora)</t>
  </si>
  <si>
    <t>Total de Amostras:</t>
  </si>
  <si>
    <t>Profissional Júnior (Biótico - Flora - Tabulação de Dados)</t>
  </si>
  <si>
    <t>Análises Química / Unidade:</t>
  </si>
  <si>
    <t>Despesas Transporte Amostras (R$/un):</t>
  </si>
  <si>
    <t>Profissional Pleno (SIG)</t>
  </si>
  <si>
    <t>Duração Requerimento de Renovação de L.O (meses):</t>
  </si>
  <si>
    <t>Profissional Pleno (Meio Biótico - Flora)</t>
  </si>
  <si>
    <t>Nº Meses / Ano:</t>
  </si>
  <si>
    <t>35.04.13</t>
  </si>
  <si>
    <t>Auxiliar de Campo</t>
  </si>
  <si>
    <t>Periodicidade Semestral:</t>
  </si>
  <si>
    <t>Nº de Campanhas / Ano:</t>
  </si>
  <si>
    <t>Duração da Concessão (ano):</t>
  </si>
  <si>
    <t>Diárias - (Meio Biótico - Flora)</t>
  </si>
  <si>
    <t>Periodicidade Renovação da LO (ano):</t>
  </si>
  <si>
    <t>Diárias - Auxiliar de Campo</t>
  </si>
  <si>
    <t>Dias de Escritório - ASV:</t>
  </si>
  <si>
    <t>Despesas de Campo - (Meio Biótico - Flora)</t>
  </si>
  <si>
    <t>Dias de Campo - ASV:</t>
  </si>
  <si>
    <t>Veículo - (Meio Biótico - Flora)</t>
  </si>
  <si>
    <t>Despesas Flora:</t>
  </si>
  <si>
    <t>Despesas Veículo</t>
  </si>
  <si>
    <t>CUSTO TOTAL / CONCESSÃO</t>
  </si>
  <si>
    <t>CUSTO/CAMPANHA</t>
  </si>
  <si>
    <t>Profissional Sênior (Meio Físico)</t>
  </si>
  <si>
    <t>Profissional Pleno (Avaliação Ambiental)</t>
  </si>
  <si>
    <t>35.04.39</t>
  </si>
  <si>
    <t>Técnico Ambiental (Análise Química Água)</t>
  </si>
  <si>
    <t>Diárias - (Análise Química Água)</t>
  </si>
  <si>
    <t xml:space="preserve">Diárias - Auxiliar de Campo </t>
  </si>
  <si>
    <t>Análise de Qualidade da Água</t>
  </si>
  <si>
    <t>Despesas de Campo - (Análise Química - Água)</t>
  </si>
  <si>
    <t>Veículo</t>
  </si>
  <si>
    <t>Profissional Sênior (Avaliação Ambiental)</t>
  </si>
  <si>
    <t>Equipamento (Monitoramento do Ruído/Vibrações)</t>
  </si>
  <si>
    <t>Profissional Sênior (Geólogo)</t>
  </si>
  <si>
    <t>Profissional Pleno (Geólogo)</t>
  </si>
  <si>
    <t>Diárias - Profissional Pleno (Geólogo)</t>
  </si>
  <si>
    <t>Profissional Sênior (Biólogo - Fauna Terrestre)</t>
  </si>
  <si>
    <t>Profissional Pleno - Biólogo</t>
  </si>
  <si>
    <t>Dárias - Profissional Pleno - Biólogo</t>
  </si>
  <si>
    <t>Despesas de Campo</t>
  </si>
  <si>
    <t>Convênio Clínicas Veterinárias</t>
  </si>
  <si>
    <t>Profissional Sênior (Meio Socioeconômico)</t>
  </si>
  <si>
    <t>Profissional Pleno (Comunicador Social)</t>
  </si>
  <si>
    <t>Profissional Pleno (Assistente Social)</t>
  </si>
  <si>
    <t>Diárias - Profissional Pleno (Comunicador Social)</t>
  </si>
  <si>
    <t>Diárias - Profissional Pleno (Assistente Social)</t>
  </si>
  <si>
    <t xml:space="preserve">Diárias - Motorista </t>
  </si>
  <si>
    <t>Despesas com eventos/material Comunicação Social</t>
  </si>
  <si>
    <t>Profissional Pleno (Educador Ambiental)</t>
  </si>
  <si>
    <t>Profissional Pleno (Pedagogo)</t>
  </si>
  <si>
    <t>Diárias - Profissional Pleno (Educador Ambiental)</t>
  </si>
  <si>
    <t>Material das Campanhas de Educação Ambiental</t>
  </si>
  <si>
    <t>CUSTO TOTAL PROGRAMA</t>
  </si>
  <si>
    <t>-</t>
  </si>
  <si>
    <t>Extensão do Lote (km):</t>
  </si>
  <si>
    <t>Profissional Sênior (Coordenação Meio Físico)</t>
  </si>
  <si>
    <t>Profissional Sênior (Coordenação Meio Biótico - Fauna)</t>
  </si>
  <si>
    <t>Profissional Sênior (Coordenação Meio Socioeconômico)</t>
  </si>
  <si>
    <t>Profissional Sênior (Coordenação Avaliação de Impactos Ambientais)</t>
  </si>
  <si>
    <t>Profissional Pleno (Meio Físico)</t>
  </si>
  <si>
    <t>Profissional Pleno (Biótico - Fauna Terrestre)</t>
  </si>
  <si>
    <t>Profissional Pleno (Meio Socioeconômico)</t>
  </si>
  <si>
    <t>Número de Municípios Interceptados:</t>
  </si>
  <si>
    <t>35.03.73</t>
  </si>
  <si>
    <t>Profissional Pleno (Arqueólogo)</t>
  </si>
  <si>
    <t>Dias de Campo / Socieconômico / Município</t>
  </si>
  <si>
    <t>Nº dias de Campanha de Fauna:</t>
  </si>
  <si>
    <t>Nº Módulos Amostrais de Fauna</t>
  </si>
  <si>
    <t>Produtividade (km) /dias Cadastro de Passivos</t>
  </si>
  <si>
    <t>CUSTO TOTAL</t>
  </si>
  <si>
    <t>Área de Supressão (ha):</t>
  </si>
  <si>
    <t>Despesas Materiais Flora (R$):</t>
  </si>
  <si>
    <t>Despesas Materiais Fauna (R$):</t>
  </si>
  <si>
    <t>Despesas de Campo - (Meio Biótico - Fauna)</t>
  </si>
  <si>
    <t>Extensão da Obra (km):</t>
  </si>
  <si>
    <t>35.03.30</t>
  </si>
  <si>
    <t>Profissional Pleno (Biótico - Fauna Aquática)</t>
  </si>
  <si>
    <t>Extensão / Furo de Sondagem Arqueológica (m)</t>
  </si>
  <si>
    <t>Nº de Furos de Sondagem / Dia da Equipe</t>
  </si>
  <si>
    <t>Despesas Material Prospecção:</t>
  </si>
  <si>
    <t>Dias Campo Educação Patrimonial / Município:</t>
  </si>
  <si>
    <t>Dias Escritório Educação Patrimonial / Município:</t>
  </si>
  <si>
    <t>Profissional Pleno (Avaliação dos Níveis de Ruído)</t>
  </si>
  <si>
    <t>Despesas Educação Patrimonial:</t>
  </si>
  <si>
    <t>Nº de Comunidades Indígenas na Área de Influência:</t>
  </si>
  <si>
    <t>Nº de Comunidades Quilombolas na Área de Influência:</t>
  </si>
  <si>
    <t>Nº Drenagens (Principais):</t>
  </si>
  <si>
    <t>Total de Pontos:</t>
  </si>
  <si>
    <t>Nº de Pontos de Outorga Analisados por dia:</t>
  </si>
  <si>
    <t>Horas de Análise Outorga:</t>
  </si>
  <si>
    <t>Nº Campanhas de Fauna (0 a 10 ha supressão):</t>
  </si>
  <si>
    <t>Nº Campanhas de Fauna (acima de 10 ha supressão):</t>
  </si>
  <si>
    <t>Dias de Campo Campanha de fauna (0 à 3 ha supressão)</t>
  </si>
  <si>
    <t>Dias de Campo Campanha de fauna (3 à 10 ha supressão)</t>
  </si>
  <si>
    <t>Dias de Campo Campanha de fauna (acima de 10 ha supressão)</t>
  </si>
  <si>
    <t>Despesas Materiais / Zonas (R$):</t>
  </si>
  <si>
    <t>Análise Fauna Aquática (R$):</t>
  </si>
  <si>
    <t>Aluguel Barco (R$)</t>
  </si>
  <si>
    <t>Despesas Ictiofauna</t>
  </si>
  <si>
    <t>Reprografia</t>
  </si>
  <si>
    <t>Dias de Campo - Avaliação preliminar de Áreas Contaminadas</t>
  </si>
  <si>
    <t>Dias de Escritório - Avaliação preliminar de Áreas Contaminadas</t>
  </si>
  <si>
    <t>Extensão Total Interceptação Áreas Urbanas:</t>
  </si>
  <si>
    <t>Pontos Medição de Ruído (01 a cada 500 m de interceptação):</t>
  </si>
  <si>
    <t>Tempo de Mediçãopor Ponto (hora):</t>
  </si>
  <si>
    <t>Tempo total de Medição (hora):</t>
  </si>
  <si>
    <t>Dias de Medição:</t>
  </si>
  <si>
    <t>Aluguel de Equipamento de Medição Ruído / dia:</t>
  </si>
  <si>
    <t>Dias de Escritório:</t>
  </si>
  <si>
    <t>Custo Material de Campo (diversos):</t>
  </si>
  <si>
    <t>Dias de Escritório - EIV/RIV (Especialista) / Município</t>
  </si>
  <si>
    <t>Dias de Escritório - EIV/RIV (Ambiental) / Município:</t>
  </si>
  <si>
    <t>Dias de Escritório - EIV/RIV (SIG) / Município:</t>
  </si>
  <si>
    <t>Dias de Campo EIV/RIV / Município:</t>
  </si>
  <si>
    <t>Análises Químicas - Qualidade da Água</t>
  </si>
  <si>
    <t>Análises Químicas - Fauna Aquática</t>
  </si>
  <si>
    <t>Veículo - Coordenador</t>
  </si>
  <si>
    <t>Despesas Veículo - Coordenador</t>
  </si>
  <si>
    <t>Despesas Veículo - (Meio Biótico - Flora)</t>
  </si>
  <si>
    <t>Veículo - (Análise Química Água)</t>
  </si>
  <si>
    <t>Despesas Veículo - (Análise Química Água)</t>
  </si>
  <si>
    <t>Profissional Sênior - Arqueólogo</t>
  </si>
  <si>
    <t>Profissional Pleno - Arqueólogo</t>
  </si>
  <si>
    <t>mês</t>
  </si>
  <si>
    <t>Engenheiro/Profissional Sênior (Coordenação Avaliação de Impactos Ambientais)</t>
  </si>
  <si>
    <t>Diárias - Coordenador</t>
  </si>
  <si>
    <t>Diárias - Profissional Pleno (Meio Socioeconômico)</t>
  </si>
  <si>
    <t>Taxas de Licenciamento - LI - CETESB</t>
  </si>
  <si>
    <t>Taxas de Licenciamento - ASV - CETESB</t>
  </si>
  <si>
    <t>Profissional Sênior (Especialista em Estudos Hidrológicos)</t>
  </si>
  <si>
    <t>Profissional Pleno (Estudos Hidrológicos)</t>
  </si>
  <si>
    <t>Engenheiro/Profissional Pleno (Estudos Hidrológicos)</t>
  </si>
  <si>
    <t>Técnico Especial (Análise Química Água)</t>
  </si>
  <si>
    <t>Diárias - (Estudos Hidrológicos)</t>
  </si>
  <si>
    <t>Despesas Transporte de Amostras</t>
  </si>
  <si>
    <t>Veículo - (Estudos Hidrológicos)</t>
  </si>
  <si>
    <t>Taxas de Licenciamento - DAEE/SP</t>
  </si>
  <si>
    <t>Profissional Sênior (Especialista em Transportes)</t>
  </si>
  <si>
    <t>Profissional Sênior (Especialista em Avaliação de Impacto de Vizinhança)</t>
  </si>
  <si>
    <t>Diárias - Profissional Sênior (Especialista em Avaliação de Impacto de Vizinhança)</t>
  </si>
  <si>
    <t xml:space="preserve">un </t>
  </si>
  <si>
    <t>Instalação de Poços de Monitoramento (Profundidade dos poços: 5 m de solo + 2 m após N.A.)</t>
  </si>
  <si>
    <t>m</t>
  </si>
  <si>
    <t>Sondagem para Amostragem de Solo (Profundidade dos poços: 5 m)</t>
  </si>
  <si>
    <t>Análise Química de Solo - VOC</t>
  </si>
  <si>
    <t>Análise Química de Solo - SVOC</t>
  </si>
  <si>
    <t>Análise Química de Solo - Metais</t>
  </si>
  <si>
    <t>Coleta de Amostra de Água Subterrânea (6 amostras + 02 Branco de amostra)</t>
  </si>
  <si>
    <t>Análise Química de Água Subterrânea - VOC (6 amostras + 02 Branco de amostra)</t>
  </si>
  <si>
    <t>Análise Química de Água Subterrânea - SVOC (6 amostras + 02 Branco de amostra)</t>
  </si>
  <si>
    <t>Análise Química de Água Subterrânea - Metais (6 amostras + 02 Branco de amostra)</t>
  </si>
  <si>
    <t>Relatório de Avaliação Confirmatória</t>
  </si>
  <si>
    <t>Carga e descarga mecanizada de resíduos classe I - perigoso</t>
  </si>
  <si>
    <t>t</t>
  </si>
  <si>
    <t>t.km</t>
  </si>
  <si>
    <t>Destinação / tratamento de resíduos classe I - perigoso</t>
  </si>
  <si>
    <t>Diárias - Profissional Sênior (Coordenação Avaliação de Impactos Ambientais)</t>
  </si>
  <si>
    <t>Taxas de Licenciamento - LO - CETESB</t>
  </si>
  <si>
    <t>Potencial Espelelológico:</t>
  </si>
  <si>
    <t>Alto</t>
  </si>
  <si>
    <t>Nº Vias CETEB:</t>
  </si>
  <si>
    <t>Profissional Pleno - Arqueólogo (Curadoria)</t>
  </si>
  <si>
    <t xml:space="preserve">Auxiliar de Escritório/Campo/Motorista </t>
  </si>
  <si>
    <t>Profissional Pleno - Arqueólogo (Prospecção)</t>
  </si>
  <si>
    <t>Diárias - Arqueólogo (Prospecção)</t>
  </si>
  <si>
    <t>Despesas com Material Prospecção</t>
  </si>
  <si>
    <t>Veículo - Arqueólogo (Prospecção)</t>
  </si>
  <si>
    <t>Endosso Institucional/Finaceiro (Guarda do Material Arqueológico)</t>
  </si>
  <si>
    <t>Subtotal 3</t>
  </si>
  <si>
    <t>35.03.72</t>
  </si>
  <si>
    <t>Profissional Pleno - Educação Patrimonial</t>
  </si>
  <si>
    <t>Profissional Pleno - Pedagogo</t>
  </si>
  <si>
    <t>Diárias - Profissional Pleno - Arqueólogo</t>
  </si>
  <si>
    <t>Diárias - Profissional Pleno - Pedagogo</t>
  </si>
  <si>
    <t>Despesas com Atividade de Educação Patrimonial</t>
  </si>
  <si>
    <t>Parâmetros</t>
  </si>
  <si>
    <t>Valor</t>
  </si>
  <si>
    <t>Trecho</t>
  </si>
  <si>
    <t xml:space="preserve"> Caixas de Contenção de Líquidos Perigosos (unidade)</t>
  </si>
  <si>
    <t>Nº de Drenagens com captação à jusante</t>
  </si>
  <si>
    <t xml:space="preserve">ha </t>
  </si>
  <si>
    <t>Plantios Compensatórios -  Compensação Supressão - Duplicação SP-333</t>
  </si>
  <si>
    <t>Atividade:</t>
  </si>
  <si>
    <t>Valor Unitário</t>
  </si>
  <si>
    <t>Quantidade</t>
  </si>
  <si>
    <t>30.01.40.03 Plantio Essenciais Florestais Nativas h&gt;=1,50M (ha)</t>
  </si>
  <si>
    <t>Manutenção do Plantio com Essenciais Florestais Nativas (ha/mês) - 36 meses</t>
  </si>
  <si>
    <t>CUSTO TOTAL:</t>
  </si>
  <si>
    <t>Área (ha)</t>
  </si>
  <si>
    <t>Valor (R$)</t>
  </si>
  <si>
    <t>Total (R$)</t>
  </si>
  <si>
    <t>Nº Trechos de Faixas Adicionais:</t>
  </si>
  <si>
    <t>Nº Trechos Vias Marginais:</t>
  </si>
  <si>
    <t>Total de Trechos em Obra:</t>
  </si>
  <si>
    <t>Profissional Pleno (Supervisor Ambiental de Obras)</t>
  </si>
  <si>
    <t>Extensão Total das Obras de Duplicação (km):</t>
  </si>
  <si>
    <t>Extensão Total das Obras de Contorno (km):</t>
  </si>
  <si>
    <t>Extensão Total das Obras (km):</t>
  </si>
  <si>
    <t>Número de Comunidades / Municípios Interceptadas:</t>
  </si>
  <si>
    <t>Diárias (Supervisor Ambiental de Obras)</t>
  </si>
  <si>
    <t>Despesas Residência</t>
  </si>
  <si>
    <t>Total de Comunidades / Municípios Interceptadas:</t>
  </si>
  <si>
    <t>Canteiros de Obra / Km:</t>
  </si>
  <si>
    <t xml:space="preserve">Despesas Veículo </t>
  </si>
  <si>
    <t>Nº de Canteiros de Obra:</t>
  </si>
  <si>
    <t>CUSTO / MÊS</t>
  </si>
  <si>
    <t>Produtividade / Km (Monitoramento Processos Erosivos)</t>
  </si>
  <si>
    <t>Estimativa Supressão (ha):</t>
  </si>
  <si>
    <t>Despesas de Campo - Resgate/Afugentamento:</t>
  </si>
  <si>
    <t>Despesas Materiais (R$):</t>
  </si>
  <si>
    <t>Nº Frentes de Supressão - Faixa Adicional:</t>
  </si>
  <si>
    <t>Nº Frentes de Supressão - Vias Marginais:</t>
  </si>
  <si>
    <t>Nº Frentes de Supressão - Duplicação:</t>
  </si>
  <si>
    <t>Duração da Supressão de Vegetação - Faixa Adicional (meses):</t>
  </si>
  <si>
    <t>Duração da Supressão de Vegetação - Vias Marginais (meses):</t>
  </si>
  <si>
    <t>Duração da Supressão de Vegetação - Duplicação (meses):</t>
  </si>
  <si>
    <t>Convênio com Viveiros de Mudas Locais:</t>
  </si>
  <si>
    <t>Duração Monitoramento Plantio Compensatório (meses):</t>
  </si>
  <si>
    <t xml:space="preserve">Nº de Comunidades Abrangidas pela Campanha: </t>
  </si>
  <si>
    <t>Nº Máximo e Dias / Equipe / Campanha:</t>
  </si>
  <si>
    <t>Nº Municípios dos Contornos e Duplicação:</t>
  </si>
  <si>
    <t>Nº de Atividades Desenvolvidas / Município:</t>
  </si>
  <si>
    <t>Total de Atividades Desenvolvidas:</t>
  </si>
  <si>
    <t>Dias de Campo / Programa de Educação Patrimonial:</t>
  </si>
  <si>
    <t>Dias de Escritório / Programa de Educação Patrimonial:</t>
  </si>
  <si>
    <t>Despesas Material - Programa de Educação Patrimonial:</t>
  </si>
  <si>
    <t>Pontos Monitoramento de Ruído (01 a cada 200 m de interceptação):</t>
  </si>
  <si>
    <t>Nº Médio de Pontos de Monitoramento de Ruído:</t>
  </si>
  <si>
    <t>Nº Ponto Cadastrados / Dia</t>
  </si>
  <si>
    <t>Nº de Pontos de Amostragem Qualidade do Ar</t>
  </si>
  <si>
    <t>Nº dias de Amostragem da Qualidade do Ar / Ponto:</t>
  </si>
  <si>
    <t>Nº dias de escritório / Ponto de Amostragem:</t>
  </si>
  <si>
    <t>Despesas Equipamento:</t>
  </si>
  <si>
    <t>Nº Drenagens Interceptadas:</t>
  </si>
  <si>
    <t>Nº Médio de Drenagens Interceptadas:</t>
  </si>
  <si>
    <t>Nº Pontos Captação de Água Subterrânea:</t>
  </si>
  <si>
    <t>Horas Trabalhadas mês:</t>
  </si>
  <si>
    <t>Técnico Ambiental (Monitoramento Qualidade do Ar)</t>
  </si>
  <si>
    <t>Dias de Escritório para CI-PBA/CQ-PBA (equipe especializada)*:</t>
  </si>
  <si>
    <t>Dias de Campo para CI-PBA/CQ-PBA*:</t>
  </si>
  <si>
    <t>Despesas com Material de Oficinas com Indígenas/Quilombola*:</t>
  </si>
  <si>
    <t>* por comunidade</t>
  </si>
  <si>
    <t>Diárias - Técnico Ambiental (Monitoramento Qualidade do Ar)</t>
  </si>
  <si>
    <t>Nº de Municípios na lista de áreas de risco ou endêmicas para malária:</t>
  </si>
  <si>
    <t>Equipamento (Monitoramento de Material Particulado)</t>
  </si>
  <si>
    <t>Dias de escritório para Programa de Monitoramento Malária:</t>
  </si>
  <si>
    <t>Dias de Campo para Programa de Monitoramento Malária:</t>
  </si>
  <si>
    <t>Despesas de Campo:</t>
  </si>
  <si>
    <t>Nº de Trechos de Faixa Adicional com Alto Potencial Paleontológico:</t>
  </si>
  <si>
    <t>Nº de Trechos de Duplicação com Alto Potencial Paleontológico:</t>
  </si>
  <si>
    <t>Nº de Trechos de Contorno com Alto Potencial Paleontológico:</t>
  </si>
  <si>
    <t>Periodicidade dos Programas Ambientais (Quadrimestral)</t>
  </si>
  <si>
    <t>Total Duração das Obras Faixa Adicional (Ano):</t>
  </si>
  <si>
    <t>Cronograma Obras (Meses):</t>
  </si>
  <si>
    <t>Profissional Sênior (Eng. Florestal)</t>
  </si>
  <si>
    <t>Total Duração das Obras Contorno (Ano):</t>
  </si>
  <si>
    <t>Cronograma Obras (Meses) / Duplicações e Contornos:</t>
  </si>
  <si>
    <t xml:space="preserve">Profissional Pleno - Eng. Florestal </t>
  </si>
  <si>
    <t xml:space="preserve">Dárias - Profissional Pleno - Eng. Florestal </t>
  </si>
  <si>
    <t>Convênio Viveiro de Mudas Local</t>
  </si>
  <si>
    <t>CUSTO  TOTAL / MÊS / EQUIPE</t>
  </si>
  <si>
    <t>Profissional Sênior (Avaiação Ambiental)</t>
  </si>
  <si>
    <t>Profissional Sênior (Biólogo - Fauna)</t>
  </si>
  <si>
    <t>Profissional Pleno (Fauna Terrestre)</t>
  </si>
  <si>
    <t>Profissional Pleno (Fauna Aquática)</t>
  </si>
  <si>
    <t>Auxiliar de Campo (Fauna Terrestre)</t>
  </si>
  <si>
    <t>Auxiliar de Campo (Fauna Aquática)</t>
  </si>
  <si>
    <t>Diárias - Profissional Pleno (Fauna Terrestre)</t>
  </si>
  <si>
    <t>Diárias - Auxiliar de Campo (Fauna Terrestre)</t>
  </si>
  <si>
    <t>Diárias - Profissional Pleno (Fauna Aquática)</t>
  </si>
  <si>
    <t>Diárias - Auxiliar de Campo (Fauna Aquática)</t>
  </si>
  <si>
    <t>Despesas Materiais - Fauna Terrestre</t>
  </si>
  <si>
    <t>Despesas Materiais - Fauna Aquática</t>
  </si>
  <si>
    <t>Veículo - Fauna Terrestre</t>
  </si>
  <si>
    <t>Despesas Veículo - Fauna Terrestre</t>
  </si>
  <si>
    <t>Veículo - Fauna Aquática</t>
  </si>
  <si>
    <t>Despesas Veículo - Fauna Aquática</t>
  </si>
  <si>
    <t>CUSTO TOTAL / CAMPANHAS</t>
  </si>
  <si>
    <t>Equipe Técnica - Canal de Ouvidoria</t>
  </si>
  <si>
    <t>Profissional (Auxiliar Administrativo)</t>
  </si>
  <si>
    <t>CUSTO/MENSAL</t>
  </si>
  <si>
    <t>CUSTO TOTAL / OUVIDORIA</t>
  </si>
  <si>
    <t>CUSTO/MÊS</t>
  </si>
  <si>
    <t>Extensão Total das Obras de Faixa Adicional (km):</t>
  </si>
  <si>
    <t>MESES-SUPRESSÃO / FRENTES (Duplicação):</t>
  </si>
  <si>
    <t>Profissional Sênior (Arqueólogo)</t>
  </si>
  <si>
    <t>Diárias - Profissional Pleno (Arqueólogo)</t>
  </si>
  <si>
    <t>Material das Campanhas de Educação Patrimonial</t>
  </si>
  <si>
    <t>Equipe Técnica - Implantação</t>
  </si>
  <si>
    <t>Profissional Sênior (Especialista em Implantação de Sistemas de Gestão)</t>
  </si>
  <si>
    <t>Equipe Técnica - Campo - Implantação</t>
  </si>
  <si>
    <t>Profissional Pleno - Ambiental (Especialista ISO 14.001)</t>
  </si>
  <si>
    <t>Profissional Pleno - Saúde e Segurança (Especialista ISO 45.001)</t>
  </si>
  <si>
    <t>Profissional Pleno - Suporte Técnico ao Processo de Identificação de Requsitos Legais</t>
  </si>
  <si>
    <t>Duração da Elaboração PGR/PAE:</t>
  </si>
  <si>
    <t>Produtividade Campo / km:</t>
  </si>
  <si>
    <t>Duração Detalhamento SGI (meses):</t>
  </si>
  <si>
    <t>Duração Assessoria SGI (meses):</t>
  </si>
  <si>
    <t>Dias de Campo Assessoria</t>
  </si>
  <si>
    <t>Duração da Implantação Requsitos Legais (meses):</t>
  </si>
  <si>
    <t>Duração Assessoria Requsitos Legais (meses):</t>
  </si>
  <si>
    <t>CUSTO TOTAL IMPLANTAÇÃO:</t>
  </si>
  <si>
    <t>Custo Certificado ISO:</t>
  </si>
  <si>
    <t>Equipe Técnica - Assessoria SGI</t>
  </si>
  <si>
    <t>Dias de Campo Auditoria:</t>
  </si>
  <si>
    <t>Dias de Escritório Auditoria:</t>
  </si>
  <si>
    <t>Duração Plano Eficiência Energética (meses):</t>
  </si>
  <si>
    <t>Dias de Campo Plano Eficiência Energética</t>
  </si>
  <si>
    <t>Duração Inventário GEE (meses):</t>
  </si>
  <si>
    <t>Equipe Técnica - Campo - Assessoria SGI</t>
  </si>
  <si>
    <t>Dias de Campo Inventário GEE:</t>
  </si>
  <si>
    <t>Duração Atualização do Inventário GEE (meses):</t>
  </si>
  <si>
    <t>Dias de Campo Atualização Inventário GEE:</t>
  </si>
  <si>
    <t>Duração Análise Mudanças Climáticas (meses):</t>
  </si>
  <si>
    <t>Dias de Campo Análise Mudanças Climáticas:</t>
  </si>
  <si>
    <t>Diárias - Profissional Pleno - Ambiental (Especialista ISO 14.001)</t>
  </si>
  <si>
    <t>Diárias - Profissional Pleno - Saúde e Segurança (Especialista ISO 45.001)</t>
  </si>
  <si>
    <t>Nº Reassentados:</t>
  </si>
  <si>
    <t>Diárias - Profissional Pleno - Suporte Técnico ao Processo de Identificação de Requsitos Legais</t>
  </si>
  <si>
    <t>Nº Reassentados Cadastrados por Dia (Campo):</t>
  </si>
  <si>
    <t>Nº Reassentados Cadastrados por Dia (Escritório):</t>
  </si>
  <si>
    <t>Veículo - Equipe SGI</t>
  </si>
  <si>
    <t>Dias de Escritório - Cadastro Socioeconômico (PAR/PRMV):</t>
  </si>
  <si>
    <t>Dias de Campo - Cadastro Socioeconômico (PAR/PRMV):</t>
  </si>
  <si>
    <t>Veículo - Equipe Requsitos Legais</t>
  </si>
  <si>
    <t>Duração Acompanhamento Reassentamento (meses):</t>
  </si>
  <si>
    <t>Duração Monitoramento do Reassentamento (meses):</t>
  </si>
  <si>
    <t>Dias de Campo Monitoramento do Reassentamento:</t>
  </si>
  <si>
    <t>Duração Relatório Sustentabilidade (meses):</t>
  </si>
  <si>
    <t>CUSTO TOTAL ASSESSORIA:</t>
  </si>
  <si>
    <t>Dias Elaboração Relatório Sustentabilidade (Sênior)</t>
  </si>
  <si>
    <t>Equipe Técnica - Certificação SGI</t>
  </si>
  <si>
    <t>Dias Elaboração Relatório Sustentabilidade (Pleno)</t>
  </si>
  <si>
    <t>Profissional Sênior (Auditor ISO 14.001)</t>
  </si>
  <si>
    <t>Dias Design Gráfico</t>
  </si>
  <si>
    <t>Profissional Sênior (Auditor ISO 45.001)</t>
  </si>
  <si>
    <t>Dias de Campo:</t>
  </si>
  <si>
    <t>Nº Relatórios (Anos da Concessão):</t>
  </si>
  <si>
    <t>Equipe Técnica - Campo - Certificação SGI</t>
  </si>
  <si>
    <t>Despesas Material Gráfico:</t>
  </si>
  <si>
    <t>Duração Meses (Estudo de Análise de Risco - EAR):</t>
  </si>
  <si>
    <t>Dias de Escritório (Estudo de Análise de Risco - EAR):</t>
  </si>
  <si>
    <t>Dias de Campo (Estudo de Análise de Risco - EAR):</t>
  </si>
  <si>
    <t>Despesas Gerais - Certificação SGI</t>
  </si>
  <si>
    <t>Diárias - Profissional Sênior (Auditor ISO 14.001)</t>
  </si>
  <si>
    <t>Diárias - Profissional Sênior (Auditor ISO 45.001)</t>
  </si>
  <si>
    <t>CUSTO CERTIFICADO</t>
  </si>
  <si>
    <t>CUSTO TOTAL 1ª CERTIFICAÇÃO:</t>
  </si>
  <si>
    <t>CUSTO TOTAL CERTIFICAÇÃO SGI:</t>
  </si>
  <si>
    <t>Profissional Sênior (Avaliação Riscos Meio Físico)</t>
  </si>
  <si>
    <t>Profissional Sênior (Avaliação Riscos Meio Biótico - Flora)</t>
  </si>
  <si>
    <t>Profissional Sênior (Avaliação Riscos Meio Biótico - Fauna)</t>
  </si>
  <si>
    <t>Diárias - Profissional Sênior (Avaliação Ambiental)</t>
  </si>
  <si>
    <t>Equipe Técnica - Inventário</t>
  </si>
  <si>
    <t>Profissional Sênior (Especialista em Inventario de Emissões)</t>
  </si>
  <si>
    <t>Profissional Pleno (Elaboração do Inventário e Análise)</t>
  </si>
  <si>
    <t>Equipe Técnica - Campo - Inventário</t>
  </si>
  <si>
    <t>Diárias - Profissional Pleno (Elaboração do Inventário e Análise)</t>
  </si>
  <si>
    <t>CUSTO TOTAL INVENTÁRIO</t>
  </si>
  <si>
    <t>Equipe Técnica - Atualização do Inventário</t>
  </si>
  <si>
    <t>Equipe Técnica - Campo - Atualização do Inventário</t>
  </si>
  <si>
    <t>Profissional Pleno Elaboração do Inventário e Análise)</t>
  </si>
  <si>
    <t>CUSTO TOTAL DE ATUALIZAÇÃO DO INVENTÁRIO</t>
  </si>
  <si>
    <t>CUSTO TOTAL DE ATUALIZAÇÃO DO INVENTÁRIO DURANTE TODA A CONCESSÃO</t>
  </si>
  <si>
    <t>CUSTO TOTAL INVENTÁRIO GEE:</t>
  </si>
  <si>
    <r>
      <t xml:space="preserve">Extensão Total do Modelo Padrão </t>
    </r>
    <r>
      <rPr>
        <vertAlign val="superscript"/>
        <sz val="9"/>
        <color theme="1"/>
        <rFont val="Arial"/>
        <family val="2"/>
      </rPr>
      <t>(1)</t>
    </r>
    <r>
      <rPr>
        <sz val="9"/>
        <color theme="1"/>
        <rFont val="Arial"/>
        <family val="2"/>
      </rPr>
      <t>:</t>
    </r>
  </si>
  <si>
    <t>Extensão Total do Lote:</t>
  </si>
  <si>
    <r>
      <t>Qtde Emissões t/CO</t>
    </r>
    <r>
      <rPr>
        <vertAlign val="subscript"/>
        <sz val="9"/>
        <color theme="1"/>
        <rFont val="Arial"/>
        <family val="2"/>
      </rPr>
      <t>2</t>
    </r>
    <r>
      <rPr>
        <sz val="9"/>
        <color theme="1"/>
        <rFont val="Arial"/>
        <family val="2"/>
      </rPr>
      <t xml:space="preserve">e/km/ano (Modelo Padrão </t>
    </r>
    <r>
      <rPr>
        <vertAlign val="superscript"/>
        <sz val="9"/>
        <color theme="1"/>
        <rFont val="Arial"/>
        <family val="2"/>
      </rPr>
      <t>1</t>
    </r>
    <r>
      <rPr>
        <sz val="9"/>
        <color theme="1"/>
        <rFont val="Arial"/>
        <family val="2"/>
      </rPr>
      <t>):</t>
    </r>
  </si>
  <si>
    <r>
      <t>Qtde Emissões t/CO</t>
    </r>
    <r>
      <rPr>
        <vertAlign val="subscript"/>
        <sz val="9"/>
        <color theme="1"/>
        <rFont val="Arial"/>
        <family val="2"/>
      </rPr>
      <t>2</t>
    </r>
    <r>
      <rPr>
        <sz val="9"/>
        <color theme="1"/>
        <rFont val="Arial"/>
        <family val="2"/>
      </rPr>
      <t>e/km/ano (Projeção para o Lote):</t>
    </r>
  </si>
  <si>
    <r>
      <t>Qtde Árvores para Retirar CO</t>
    </r>
    <r>
      <rPr>
        <vertAlign val="subscript"/>
        <sz val="9"/>
        <color theme="1"/>
        <rFont val="Arial"/>
        <family val="2"/>
      </rPr>
      <t>2</t>
    </r>
    <r>
      <rPr>
        <sz val="9"/>
        <color theme="1"/>
        <rFont val="Arial"/>
        <family val="2"/>
      </rPr>
      <t>e (em 20 anos):</t>
    </r>
  </si>
  <si>
    <t>Total ha a ser Plantado para Compensar (20 anos):</t>
  </si>
  <si>
    <t>Total ha a ser Plantado para Compensar (30 anos):</t>
  </si>
  <si>
    <t>COMPENSAÇÃO PELO PLANTIO COMPENSATÓRIO</t>
  </si>
  <si>
    <t>Atividade</t>
  </si>
  <si>
    <t>Área de Compensação (ha)</t>
  </si>
  <si>
    <t>Preço Unitário</t>
  </si>
  <si>
    <t>TOTAL PROGRAMA:</t>
  </si>
  <si>
    <t>Profissional Sênior (Especialista em Mudanças Climáticas)</t>
  </si>
  <si>
    <t>Profissional Sênior (Modelagem Climática)</t>
  </si>
  <si>
    <t>Profissional Pleno (Modelagem Climática)</t>
  </si>
  <si>
    <t>Diárias - Profissional Sênior (Modelagem Climática)</t>
  </si>
  <si>
    <t>Diárias - Profissional Pleno (Modelagem Climática)</t>
  </si>
  <si>
    <t>Profissional Sênior (Especialista em Relatórios de Sustentabilidade)</t>
  </si>
  <si>
    <t>Profissional Pleno (Montagem dos Relatórios)</t>
  </si>
  <si>
    <t>Profissional Pleno (Designer Gráfico)</t>
  </si>
  <si>
    <t>Diárias - Profissional Sênior (Especialista em Relatórios de Sustentabilidade)</t>
  </si>
  <si>
    <t>Diárias - Profissional Pleno (Montagem dos Relatórios)</t>
  </si>
  <si>
    <t>Despesas com Material Gráfico</t>
  </si>
  <si>
    <t>Taxa de Licenciamento - Decreto Nº 62.973/2017</t>
  </si>
  <si>
    <t>Tipo de Serviço</t>
  </si>
  <si>
    <t>Valor em UFESP</t>
  </si>
  <si>
    <t>Valor Final</t>
  </si>
  <si>
    <t>Licença Prévia - EAS</t>
  </si>
  <si>
    <t>Licença Prévia - RAP</t>
  </si>
  <si>
    <t>Licença Prévia - EIA/RIMA</t>
  </si>
  <si>
    <t>Licença de Instalação - EAS</t>
  </si>
  <si>
    <t>Licença de Instalação - RAP</t>
  </si>
  <si>
    <t>Licença de Instalação - EIA/RIMA</t>
  </si>
  <si>
    <t>Licença de Operação e Renovação de LO - EAS</t>
  </si>
  <si>
    <t>Licença de Operação e Renovação de LO - RAP</t>
  </si>
  <si>
    <t>Licença de Operação e Renovação de LO - EIA/RIMA</t>
  </si>
  <si>
    <t>Licença de Operação de Regularização - EIA</t>
  </si>
  <si>
    <t>ASV e Intervenção em APP - impacto - Inferior 1ha</t>
  </si>
  <si>
    <t>ASV e Intervenção em APP - impacto - Entre 1ha e 300 ha</t>
  </si>
  <si>
    <t>Item</t>
  </si>
  <si>
    <t>BARREIRA DE RUÍDO</t>
  </si>
  <si>
    <t>Referência</t>
  </si>
  <si>
    <t>Código</t>
  </si>
  <si>
    <t>Descrição do Item</t>
  </si>
  <si>
    <t>BDI</t>
  </si>
  <si>
    <t>Unitário Total</t>
  </si>
  <si>
    <t>Qtd.</t>
  </si>
  <si>
    <t>Valor Total</t>
  </si>
  <si>
    <t>SICRO</t>
  </si>
  <si>
    <t>Escavação, carga e transporte de material de 1ª categoria na distância de 3.000 m - caminho de serviço pavimentado - com
escavadeira e caminhão basculante de 14 m³</t>
  </si>
  <si>
    <t>m3*km</t>
  </si>
  <si>
    <t>Escavação mecânica de vala para drenagem com valetadeira em material de 1ª categoria</t>
  </si>
  <si>
    <t>m³</t>
  </si>
  <si>
    <t>Compactação manual com soquete vibratório</t>
  </si>
  <si>
    <t>Fôrmas de compensado resinado 12 mm - uso geral - utilização de 3 vezes - confecção, instalação e retirada</t>
  </si>
  <si>
    <t>m²</t>
  </si>
  <si>
    <t>Fôrmas de compensado plastificado 12 mm - uso geral - utilização de 1 vez - confecção, instalação e retirada</t>
  </si>
  <si>
    <t>Armação em aço CA-25 - fornecimento, preparo e colocação</t>
  </si>
  <si>
    <t>kg</t>
  </si>
  <si>
    <t>Armação em aço CA-50 - fornecimento, preparo e colocação</t>
  </si>
  <si>
    <t>Armação em aço CA-60 - fornecimento, preparo e colocação</t>
  </si>
  <si>
    <t>Concreto magro - confecção em betoneira e lançamento manual - areia e brita comerciais</t>
  </si>
  <si>
    <t>Concreto fck = 25 MPa - confecção em betoneira e lançamento manual - areia e brita comerciais</t>
  </si>
  <si>
    <t>Concreto para bombeamento fck = 25 MPa - confecção em central dosadora de 30 m³/h - areia e brita comerciais</t>
  </si>
  <si>
    <t>DER-SP</t>
  </si>
  <si>
    <t>26.11.03.03</t>
  </si>
  <si>
    <t xml:space="preserve">LANÇAMENTO DE PLACA PRE MOLDADA DE CONCRETO, ATE 1000 KG.                      </t>
  </si>
  <si>
    <t>un</t>
  </si>
  <si>
    <t>Microconcreto para reparos e grauteamento - confecção em misturador e lançamento manual</t>
  </si>
  <si>
    <t>SINAPI</t>
  </si>
  <si>
    <t>73970/1</t>
  </si>
  <si>
    <t>PERFIL W 250 X 32,7 - ASTM A572 GR50</t>
  </si>
  <si>
    <t>PERFIL W 310 X 28,3 - ASTM A572 GR50</t>
  </si>
  <si>
    <t>PERFIL U 200 x 80 X 4,00 - ASTM A572 GR50</t>
  </si>
  <si>
    <t>CANTONEIRA L76 X 51 X 6,3</t>
  </si>
  <si>
    <t>CANTONEIRA L76 X 76 X 9,5</t>
  </si>
  <si>
    <t>CHAPA MÉTALICA 10 MM</t>
  </si>
  <si>
    <t>CHAPA MÉTALICA 12,7 MM</t>
  </si>
  <si>
    <t>PARAFUSOS 20mm</t>
  </si>
  <si>
    <t>PARAFUSOS 6,3mm</t>
  </si>
  <si>
    <t>CHUMBADOR QUÍMICO Ø 20 EMB 210mm - ASTM A572 GR50</t>
  </si>
  <si>
    <t>MATERIAL FONO-ABSORVENTE</t>
  </si>
  <si>
    <t xml:space="preserve">SICRO </t>
  </si>
  <si>
    <t>M0798</t>
  </si>
  <si>
    <t>TIRA DE NEOPRENE</t>
  </si>
  <si>
    <t>dm³</t>
  </si>
  <si>
    <t>PARAFUSOS E ARRUELAS SEXTAVADAS</t>
  </si>
  <si>
    <t>HASTE DE ATERRAMENTO NUCLEO DE AÇO REVESTIDO DE COBRE DE ALTA CAMADA 5/8”x2.400mm</t>
  </si>
  <si>
    <t>PÇ</t>
  </si>
  <si>
    <t>CABO DE AÇO GALVANIZADO Ø3/8” SM COM 7 FIOS</t>
  </si>
  <si>
    <t>CPOS</t>
  </si>
  <si>
    <t>42.05.59</t>
  </si>
  <si>
    <t>TERMINAL DE COMPRESSÃO DE 1 FURO de 13mm PARA CABO DE AÇO Ø3/8”</t>
  </si>
  <si>
    <t>pç</t>
  </si>
  <si>
    <t>TERMINAL DE COBRE ESTANHADO A COMPRESSÃO COM 1 FURO DE 8,5MM PARA CABO DE AÇO Ø3/8”</t>
  </si>
  <si>
    <t>CONECTOR TIPO “SPLIT BOLT” EM LATÃO ESTANHADO COM FURO VERTICAL DE Ø10MM PARA CABOS PASSANTE DE 16 A 70MM²</t>
  </si>
  <si>
    <t>CONECTOR TIPO “SPLIT BOLT” EM LATÃO ESTANHADO COM SEPARADOR PARA 2 CABOS DE AÇO Ø3/8”</t>
  </si>
  <si>
    <t>42.20.22</t>
  </si>
  <si>
    <t>FORNECIMENTO E INSTALAÇÃO DE SOLDA EXOTERMICA PARA CONEXÃO DE CABO PASSANTE DE  50mm2  A LATERAL DA HASTE DE ATERRAMENTO 5/8"</t>
  </si>
  <si>
    <t>42.20.27</t>
  </si>
  <si>
    <t>FORNECIMENTO E INSTALAÇÃO DE SOLDA EXOTERMICA PARA CONEXÃO DE CABO DE  50mm2  NA HORIZONTAL A FERRO DE CONSTRUÇÃO 3/8"</t>
  </si>
  <si>
    <t>PASSAGEM DE FAUNA</t>
  </si>
  <si>
    <t>Escavação mecânica de vala em material de 1ª categoria</t>
  </si>
  <si>
    <t>Corpo BSCC 1,50 x 1,50 m - moldado no local - altura do aterro 2,50 a 5,00 m - areia e brita comerciais</t>
  </si>
  <si>
    <t xml:space="preserve">m </t>
  </si>
  <si>
    <t>Boca BSCC 1,50 x 1,50 m - esconsidade 0° - areia e brita comerciais</t>
  </si>
  <si>
    <t>Reaterro e compactação com soquete vibratório</t>
  </si>
  <si>
    <t>Concreto ciclópico fck = 20 MPa - confecção em betoneira e lançamento manual - areia, brita e pedra de mão comerciais</t>
  </si>
  <si>
    <t xml:space="preserve">Cerca de passagem de fauna com tela de alambrado sobre mureta de blocos de concreto - H=20cm - mourões de madeira a cada 2,5m e esticador a cada 50m </t>
  </si>
  <si>
    <t>FORNECIMENTO E IMPLANTAÇÃO DE SUPORTE ECOLÓGICO QUADRADO DE 8 CM PARA PLACA DE SINALIZAÇÃO</t>
  </si>
  <si>
    <t>FORNECIMENTO E IMPLANTAÇÃO DE PLACA DE AÇO - PELÍCULA III+III (SOLO REG/ADV, MP'S, ORIENT.)</t>
  </si>
  <si>
    <t>Enleivamento</t>
  </si>
  <si>
    <t>Hidrossemeadura</t>
  </si>
  <si>
    <t>CAIXA DE CONTENÇÃO DE PRODUTOS PERIGOSOS</t>
  </si>
  <si>
    <t>Escoramento com pontaletes D = 15 cm - utilização de 1 vez - confecção e instalação</t>
  </si>
  <si>
    <t>SANEPAR</t>
  </si>
  <si>
    <t>Comporta de superfície em PRFV 0,80 x 1,00, inclusive haste e tubo guia</t>
  </si>
  <si>
    <t>Alvenaria de blocos de concreto 19 x 19 x 39 cm com espessura de 20 cm com argamassa traço 1:0,5:3,5 - areia comercial</t>
  </si>
  <si>
    <t>Tubo de PVC para dreno tipo barbacã - D = 50 mm - fornecimento e instalação</t>
  </si>
  <si>
    <t xml:space="preserve">TRANSPORTE COM CAMINHÃO BASCULANTE COM CAÇAMBA ESTANQUE COM CAPACIDADE DE 14 M³ - RODOVIA PAVIMENTADA </t>
  </si>
  <si>
    <t>TKM</t>
  </si>
  <si>
    <t>SECRETARIA DE LOGÍSTICA E TRANSPORTES</t>
  </si>
  <si>
    <t>DEPARTAMENTO DE ESTRADAS DE RODAGEM DO ESTADO DE SÃO PAULO</t>
  </si>
  <si>
    <t>TABELA DE PREÇOS UNITÁRIOS NÃO DESONERADOS</t>
  </si>
  <si>
    <t>Subitem</t>
  </si>
  <si>
    <t>30.01.40.02</t>
  </si>
  <si>
    <t>MANUTENCAO DO PLANTIO FLORESTAL DE ESP.ARBÓREAS NATIVAS COM ESP.DE 3,00MX 2,00M</t>
  </si>
  <si>
    <t>ha x mes</t>
  </si>
  <si>
    <t>30.01.40.03</t>
  </si>
  <si>
    <t xml:space="preserve">PLANTIO ESSENCIAS FLORESTAIS NATIVAS h&gt;=1,50M                                  </t>
  </si>
  <si>
    <t>ha</t>
  </si>
  <si>
    <t>34.08.27.01</t>
  </si>
  <si>
    <t xml:space="preserve">ESTUDO HIDROLOGICO E APROV. DO DAEE                                            </t>
  </si>
  <si>
    <t>34.08.27.03</t>
  </si>
  <si>
    <t xml:space="preserve">ELABORACAO DE EVI E APROVACAO DE IMPLANTACAO DO EMPREENDIMENTO NO DAEE.        </t>
  </si>
  <si>
    <t>34.08.27.04</t>
  </si>
  <si>
    <t xml:space="preserve">DIREITO DE USO DO RECURSO HIDRICO EM TRAVESSIAS / DAEE                         </t>
  </si>
  <si>
    <t xml:space="preserve">AUXILIAR DE ESCRITORIO                                                         </t>
  </si>
  <si>
    <t>35.03.13</t>
  </si>
  <si>
    <t xml:space="preserve">AUXILIAR TECNICO                                                               </t>
  </si>
  <si>
    <t>35.03.71</t>
  </si>
  <si>
    <t>ASSISTENTE SOCIAL JUNIOR</t>
  </si>
  <si>
    <t>ASSISTENTE SOCIAL PLENO</t>
  </si>
  <si>
    <t>ASSISTENTE SOCIAL SENIOR</t>
  </si>
  <si>
    <t>BIOLOGO</t>
  </si>
  <si>
    <t>35.03.17</t>
  </si>
  <si>
    <t>CONSULTOR C</t>
  </si>
  <si>
    <t xml:space="preserve">COORDENADOR                                                                    </t>
  </si>
  <si>
    <t xml:space="preserve">CADISTA / CALCULISTA III                                                       </t>
  </si>
  <si>
    <t>35.03.27</t>
  </si>
  <si>
    <t xml:space="preserve">ECONOMISTA JUNIOR                                                              </t>
  </si>
  <si>
    <t xml:space="preserve">ECONOMISTA PLENO                                                               </t>
  </si>
  <si>
    <t xml:space="preserve">ECONOMISTA SENIOR                                                              </t>
  </si>
  <si>
    <t xml:space="preserve">ENGENHEIRO JUNIOR                                                              </t>
  </si>
  <si>
    <t>35.04.30</t>
  </si>
  <si>
    <t>ENGENHEIRO JUNIOR TEMPORARIO</t>
  </si>
  <si>
    <t xml:space="preserve">ENGENHEIRO PLENO                                                               </t>
  </si>
  <si>
    <t>35.04.31</t>
  </si>
  <si>
    <t>ENGENHEIRO PLENO TEMPORARIO</t>
  </si>
  <si>
    <t xml:space="preserve">ENGENHEIRO SENIOR                                                              </t>
  </si>
  <si>
    <t>35.03.36</t>
  </si>
  <si>
    <t xml:space="preserve">GEOLOGO JUNIOR                                                                 </t>
  </si>
  <si>
    <t xml:space="preserve">GEOLOGO PLENO                                                                  </t>
  </si>
  <si>
    <t xml:space="preserve">GEOLOGO SENIOR                                                                 </t>
  </si>
  <si>
    <t>35.03.43</t>
  </si>
  <si>
    <t>PROGRAMADOR DE COMPUTADOR JUNIOR</t>
  </si>
  <si>
    <t>35.03.45</t>
  </si>
  <si>
    <t>PROGRAMADOR DE COMPUTADOR PLENO</t>
  </si>
  <si>
    <t xml:space="preserve">AUXILIAR TECNICO TEMPORARIO                                                    </t>
  </si>
  <si>
    <t xml:space="preserve">LABORATORISTA TEMPORARIO                                                       </t>
  </si>
  <si>
    <t xml:space="preserve">MOTORISTA TEMPORARIO                                                           </t>
  </si>
  <si>
    <t>35.03.69</t>
  </si>
  <si>
    <t>MEDICO VETERINARIO</t>
  </si>
  <si>
    <t>veic.mês</t>
  </si>
  <si>
    <t>veic.diária</t>
  </si>
  <si>
    <t>21.05.05</t>
  </si>
  <si>
    <t>DEMOLICAO DE EDIFICACAO EM ALVENARIA</t>
  </si>
  <si>
    <t>21.05.06</t>
  </si>
  <si>
    <t>DEMOLICAO DE EDIFICACAO EM MADEIRA</t>
  </si>
  <si>
    <t>27.01.04</t>
  </si>
  <si>
    <t xml:space="preserve"> REMOCAO,CARGA E TRANSP.ENTULHO EM GERAL</t>
  </si>
  <si>
    <t>30.02.05.02</t>
  </si>
  <si>
    <t xml:space="preserve">ALAMBRADO EM TELA METALICA GALV.MONT.MET.GALV.PARA CONDUÇÃO DE FAUNA H=2,00M   </t>
  </si>
  <si>
    <t>Horas mensais consideradas para mão de obra de engenharia consultiva:</t>
  </si>
  <si>
    <t>Diárias</t>
  </si>
  <si>
    <t>Parâmetro (UFESP):</t>
  </si>
  <si>
    <t>Valor (R$):</t>
  </si>
  <si>
    <t xml:space="preserve">Equipe Local </t>
  </si>
  <si>
    <r>
      <rPr>
        <b/>
        <sz val="9"/>
        <color theme="1"/>
        <rFont val="Arial"/>
        <family val="2"/>
      </rPr>
      <t>Nota</t>
    </r>
    <r>
      <rPr>
        <sz val="9"/>
        <color theme="1"/>
        <rFont val="Arial"/>
        <family val="2"/>
      </rPr>
      <t>: Diárias calculadas com base no Decreto Estadual 48.292/2003
http://www.transparencia.sp.gov.br/decreto%20n.48.292,%20de%2002.12.2003.pdf</t>
    </r>
  </si>
  <si>
    <t>SIEC - SISTEMA DE ENGENHARIA DE CUSTOS</t>
  </si>
  <si>
    <t>Caderno sintético de serviços</t>
  </si>
  <si>
    <t xml:space="preserve">Encargos sociais: </t>
  </si>
  <si>
    <t>Publicado em:</t>
  </si>
  <si>
    <t>Gerência de Custos Referenciais</t>
  </si>
  <si>
    <t>CÓDIGO</t>
  </si>
  <si>
    <t>DESCRIÇÃO DO SERVIÇO</t>
  </si>
  <si>
    <t>UNID</t>
  </si>
  <si>
    <t>CUSTO 
UNITÁRIO (R$)</t>
  </si>
  <si>
    <t>01.02.01.100.01</t>
  </si>
  <si>
    <t>Relatório de avaliação preliminar para área até 25.000 m²</t>
  </si>
  <si>
    <t>01.02.01.200.23</t>
  </si>
  <si>
    <t>Análises químicas das amostras de solo ou de águas subterrâneas - Metais (Al, Sb, As, B, Ba, Cd, Pb, Co, Cu, Cr, Fe, Mn, Hg, Mo, Ni, Ag, Se, V, Zn)</t>
  </si>
  <si>
    <t>01.02.01.200.25</t>
  </si>
  <si>
    <t>Análises químicas das amostras de solo ou de águas subterrâneas - SVOC</t>
  </si>
  <si>
    <t>01.02.01.200.26</t>
  </si>
  <si>
    <t>Análises químicas das amostras de solo ou de águas subterrâneas - VOC</t>
  </si>
  <si>
    <t>01.02.01.200.04</t>
  </si>
  <si>
    <t>Coleta para amostragem de águas subterrâneas dos poços de monitoramento previamente instalados</t>
  </si>
  <si>
    <t>01.02.01.200.03</t>
  </si>
  <si>
    <t>Instalação e desenvolvimento dos poços de monitoramento com trado mecanizado de 4"</t>
  </si>
  <si>
    <t>01.02.01.200.02</t>
  </si>
  <si>
    <t>Sondagem para amostragem de solos - diâmetro de 8"</t>
  </si>
  <si>
    <t>01.02.01.300.07</t>
  </si>
  <si>
    <t>Avaliação dos resultados e elaboração do Relatório Final de Investigação Detalhada e Análise de Risco</t>
  </si>
  <si>
    <t>02.01.01.110.08</t>
  </si>
  <si>
    <t>Carga e descarga mecanizada de resíduos classe I - perigosos</t>
  </si>
  <si>
    <t>T</t>
  </si>
  <si>
    <t>02.01.01.110.10</t>
  </si>
  <si>
    <t>Transporte de resíduos classe I - perigosos até o local de destinação final</t>
  </si>
  <si>
    <t>TXKM</t>
  </si>
  <si>
    <t>02.01.01.600.02</t>
  </si>
  <si>
    <t>Destinação / tratamento de resíduos classe I - perigoso - por processo de Coprocessamento</t>
  </si>
  <si>
    <t>ESTIMATIVA DE CUSTOS SOCIOAMBIENTAIS - CAPEX - TÚNEL IMERSO SANTOS - GUARUJÁ</t>
  </si>
  <si>
    <t>ATIVIDADES DE LICENCIAMENTO AMBIENTAL</t>
  </si>
  <si>
    <t>Requerimento de Licença de Instalação das Obras do Túnel Imerso</t>
  </si>
  <si>
    <t>Custos incluem a alocação de equipe técnica multidisciplinar para elaboração de requerimento, incluindo a elaboração do Plano Básico Ambiental e demais exigências da CETESB constantes da Licença Prévia e demais Pareceres Técnicos e documentos apensos ao processo. Inclui taxa de licenciamento, conforme Decreto Nº 62.973/2017.</t>
  </si>
  <si>
    <t>1.3</t>
  </si>
  <si>
    <t>1.4</t>
  </si>
  <si>
    <t>1.5</t>
  </si>
  <si>
    <t>Autorização de Supressão Vegetal (ASV) das Obras do Túnel Imerso</t>
  </si>
  <si>
    <t>Considera equipe técnica para elaboração do Inventário Florestal, conforme Decisão de Diretoria CETESB Nº 287/2013/V/C/I. Inclui taxa de licenciamento, conforme Decreto Nº 62.973/2017.</t>
  </si>
  <si>
    <t>1.6</t>
  </si>
  <si>
    <t xml:space="preserve">Santos: Conforme previsto no Art. 9º, parágrafo 2º da Lei Complementar Nº 793/2013 do município de Santos/SP, a implantação e expansão de sistemas de serviços de utilidade pública, incluindo transportes e obras viárias como viadutose túneis, deve ser objeto de Estudo Prévio de Impacto de Vizinhança. 
Guraujá: No Inciso XXXI, do Art. 137 da Lei Complementar Nº 156/2013 consta que túneis, viadutos e vias expressas rodoviárias são considerados empreendimentos causadores de impacto à vizinhança. </t>
  </si>
  <si>
    <t>Investigação Confirmatória de Áreas Potencialmente Contaminadas</t>
  </si>
  <si>
    <t>Obtenção da Licença de Operação das Obras do Túnel Imerso</t>
  </si>
  <si>
    <t>Subtotal 1.1:</t>
  </si>
  <si>
    <t>OBRAS DE MITIGAÇÃO DE IMPACTOS SOCIOAMBIENTAIS</t>
  </si>
  <si>
    <t xml:space="preserve">Considera os custos de adaptação de dispositivos de drenagem, em locais onde há o risco de que acidentes envolvendo produtos perigosos e que possa acarretar dados aos corpos d'água. </t>
  </si>
  <si>
    <t>PLANTIOS COMPENSATÓRIOS</t>
  </si>
  <si>
    <t>Plantio Compensatório pelas obras do Túnel Imerso</t>
  </si>
  <si>
    <t>A supressão foi estimada com base em análise do Projeto de Engenharia referencial e mapeamentos da área de influência do projeto. A compensação foi calculada com base nos parâmetos da conforme Resolução SMA Nº 07/2017. Para o cálculo da compensação, foram considerados os valores unitários de plantio de mudas previstas no TPU/DER/SP</t>
  </si>
  <si>
    <t>COMPENSAÇÃO AMBIENTAL</t>
  </si>
  <si>
    <t>Compensação Financeira pelas Obras do Túnel Imerso</t>
  </si>
  <si>
    <t>DESAPROPRIAÇÕES E RESASSENTAMENTOS</t>
  </si>
  <si>
    <t>PROGRAMAS SOCIOAMBIENTAIS</t>
  </si>
  <si>
    <t>ATENDIMENTO AOS PADRÕES AMBIENTAIS, SOCIAIS E DE GOVERNANÇA DO ANEXO 06 DO CONTRATO DE CONCESSÃO</t>
  </si>
  <si>
    <t>7.5</t>
  </si>
  <si>
    <t>7.7</t>
  </si>
  <si>
    <t>ESTIMATIVA DE CUSTOS SOCIOAMBIENTAIS - OPEX - TÚNEL IMERSO SANTOS - GUARUJÁ</t>
  </si>
  <si>
    <t>Elaboração de Relatório de Avaliação de Impacto aos Bens Culturais Tombados, Valorados e Registrados para IPHAN</t>
  </si>
  <si>
    <t xml:space="preserve">Custos incluem a alocação de arqueólogo e equipe técnica para elaboração do Relatório de Avaliação de Impactos, conforme Instrução Normativa IPHAN Nº 01/2015. </t>
  </si>
  <si>
    <t>Elaboração de Projeto de Avaliação de Impacto Arqueológico para IPHAN</t>
  </si>
  <si>
    <t>Custos contempla a elaboração do Projeto de Avaliação em conformidade com a Instrução Normativa IPHAN Nº 001/2015</t>
  </si>
  <si>
    <t>Elaboração de Relatório de Avaliação de Impacto ao Patrimônio Arqueológico para IPHAN</t>
  </si>
  <si>
    <t>Elaboração do Programa de Gestão do Patrimônio Arqueológico e Projeto Integrado de Educação Patrimonial para IPHAN para as obras</t>
  </si>
  <si>
    <t>Custos incluem a alocação de equipe técnica para elaboração dos Programa de Gestão e do Projeto de Educação Patrimonial, conforme exigência da IN Nº 001/2015 para empreendimentos enquadrados no Nível III.</t>
  </si>
  <si>
    <t>1.7</t>
  </si>
  <si>
    <t>1.8</t>
  </si>
  <si>
    <t>1.9</t>
  </si>
  <si>
    <t>1.10</t>
  </si>
  <si>
    <t xml:space="preserve">Assumiu-se que o IPHAN poderá enquadrar o Túnel Imerso no Nível III, conforme dados da FCA já protocolada neste órgão. </t>
  </si>
  <si>
    <t xml:space="preserve">A Licença Prévia do empreendimento deverá ser emitida até o final do processo de estruturação do Contrato de PPP do Túnel Imerso. </t>
  </si>
  <si>
    <t>4.1</t>
  </si>
  <si>
    <t>5.3</t>
  </si>
  <si>
    <t>Subtotal 4:</t>
  </si>
  <si>
    <t>1. ATIVIDADES DE LICENCIAMENTO AMBIENTAL</t>
  </si>
  <si>
    <t>Veículo - Profissional Pleno (Meio Socioeconômico)</t>
  </si>
  <si>
    <t>Despesas Veículo - Profissional Pleno (Meio Socioeconômico)</t>
  </si>
  <si>
    <t>Veículo - Profissional Pleno (Avaliação Ambiental)</t>
  </si>
  <si>
    <t>Despesas Veículo - Profissional Pleno (Avaliação Ambiental)</t>
  </si>
  <si>
    <t>Deslocamentos SP/Santos/Guarujá (Ida e Volta):</t>
  </si>
  <si>
    <t>Nº Árvores / Equipe / Censo:</t>
  </si>
  <si>
    <t>Dias de Campo Inventário:</t>
  </si>
  <si>
    <t>Árvores Isoladas:</t>
  </si>
  <si>
    <t>Dias Estudo Hidrológico:</t>
  </si>
  <si>
    <t>Dias de Campo Estudo Hidrológico:</t>
  </si>
  <si>
    <t>Despesas Veículo - (Estudos Hidrológicos)</t>
  </si>
  <si>
    <t>Taxas e Emolumentos</t>
  </si>
  <si>
    <t>Despesas Veículo - Arqueólogo (Prospecção)</t>
  </si>
  <si>
    <t>Profissional Pleno (Avaliação do Níveis de Ruído)</t>
  </si>
  <si>
    <t>Diárias (Avaliação dos Níveis Ruído)</t>
  </si>
  <si>
    <t>Veículo - Profissional Pleno (Avaliação dos Níveis de Ruído)</t>
  </si>
  <si>
    <t>Despesas Veículo - Profissional Pleno (Avaliação dos Níveis de Ruído)</t>
  </si>
  <si>
    <t>Despesas de Campo - (Avaliação Níveis de Ruído)</t>
  </si>
  <si>
    <t>SPA-248/055</t>
  </si>
  <si>
    <t>Santos</t>
  </si>
  <si>
    <t>Valor Unitário (R$)</t>
  </si>
  <si>
    <t>Custo Processo (1,2%)</t>
  </si>
  <si>
    <t>Localização</t>
  </si>
  <si>
    <t>Valor / m² (R$)</t>
  </si>
  <si>
    <t>Fonte:</t>
  </si>
  <si>
    <t>Bairro Macuco</t>
  </si>
  <si>
    <t>Área Terreno (m²)</t>
  </si>
  <si>
    <t>https://www.zapimoveis.com.br/imovel/venda-terreno-lote-condominio-macuco-santos-sp-790m2-id-2708762170/</t>
  </si>
  <si>
    <t>Guarujá</t>
  </si>
  <si>
    <t>https://www.zapimoveis.com.br/imovel/venda-terreno-lote-condominio-macuco-santos-sp-320m2-id-2577754336/</t>
  </si>
  <si>
    <t>https://www.zapimoveis.com.br/imovel/venda-terreno-lote-condominio-macuco-santos-sp-270m2-id-2672207648/</t>
  </si>
  <si>
    <t>https://www.zapimoveis.com.br/imovel/venda-terreno-lote-condominio-macuco-santos-sp-823m2-id-2568426743/</t>
  </si>
  <si>
    <t>https://www.zapimoveis.com.br/imovel/venda-terreno-lote-comercial-macuco-santos-sp-500m2-id-2534260532/</t>
  </si>
  <si>
    <t>https://www.zapimoveis.com.br/imovel/venda-terreno-lote-condominio-macuco-santos-sp-442m2-id-2451865233/</t>
  </si>
  <si>
    <t>Sitio Paecara</t>
  </si>
  <si>
    <t>https://www.zapimoveis.com.br/imovel/venda-terreno-lote-condominio-sitio-paecara-guaruja-sp-87m2-id-2695382481/</t>
  </si>
  <si>
    <t>https://www.zapimoveis.com.br/imovel/venda-terreno-lote-condominio-sitio-paecara-guaruja-sp-660m2-id-2567776774/</t>
  </si>
  <si>
    <t>Município</t>
  </si>
  <si>
    <t>https://www.zapimoveis.com.br/imovel/venda-terreno-lote-condominio-sitio-paecara-guaruja-sp-403m2-id-2678052940/</t>
  </si>
  <si>
    <t>https://www.zapimoveis.com.br/imovel/venda-sitio-paecara-guaruja-sp-400m2-id-2702128293/?itl_id=1000155&amp;itl_name=zap_-_recommendations-container_simple_user_profile_to_zap_pagina-produto</t>
  </si>
  <si>
    <t>Média Santos:</t>
  </si>
  <si>
    <t>Média Guarujá:</t>
  </si>
  <si>
    <t>Intervenção</t>
  </si>
  <si>
    <t>Terreno Urbano</t>
  </si>
  <si>
    <t>PESQUISA DE TERRENO</t>
  </si>
  <si>
    <t>CUSTO REASSENTAMENTO</t>
  </si>
  <si>
    <t>Valor Unitário Unidade Habitacional (Padrão CDHU):</t>
  </si>
  <si>
    <t>CUSTO BENFEITORIA</t>
  </si>
  <si>
    <t>Valor do CUB/m² (Residencial - R-1 Normal)</t>
  </si>
  <si>
    <t>Valor do CUB/m² (Comercial - CAL-8)</t>
  </si>
  <si>
    <r>
      <rPr>
        <b/>
        <sz val="9"/>
        <rFont val="Arial"/>
        <family val="2"/>
      </rPr>
      <t>Fonte</t>
    </r>
    <r>
      <rPr>
        <sz val="9"/>
        <rFont val="Arial"/>
        <family val="2"/>
      </rPr>
      <t>: https://sindusconsp.com.br/download/boletim-economico-marco-2024-com-desoneracao/</t>
    </r>
  </si>
  <si>
    <t>Acessos e Viário</t>
  </si>
  <si>
    <t>Tipo de Afetação</t>
  </si>
  <si>
    <t>Edificações</t>
  </si>
  <si>
    <t xml:space="preserve">Valor Indenização </t>
  </si>
  <si>
    <t>Profissional Sênior (Engenheiro)</t>
  </si>
  <si>
    <t>Profissional Sênior (Avaliação de Impactos Socioambientais)</t>
  </si>
  <si>
    <t>Duração Programa de Adequação Ambiental (meses):</t>
  </si>
  <si>
    <t xml:space="preserve">Considera equipe técnica para elaborar estudos de otimização do projeto de engenharia sob a ótica socioambiental, garantindo que no processo de detalhamento entre a Licença Prévia e a Licença de Instalação sejam incorporados ajustes que contribuam com a prevenção e minimização de impactos socioambientais negativos. </t>
  </si>
  <si>
    <t>Nº dias Escritório</t>
  </si>
  <si>
    <t>Periodicidade Programa de Monitoramento de Ruído (meses):</t>
  </si>
  <si>
    <t>Nº Frentes de Obra:</t>
  </si>
  <si>
    <t>Auxiliar Técnico (Brigadista para Emergências Ambientais)</t>
  </si>
  <si>
    <t>Diárias - Profissional Pleno (Brigadista para Emergências Ambientais)</t>
  </si>
  <si>
    <t>CUSTO TOTAL - RESGATE DE FLORA</t>
  </si>
  <si>
    <t>CUSTO TOTAL - RESGATE DE FAUNA</t>
  </si>
  <si>
    <t xml:space="preserve">Considera equipe de brigadistas para atuação em situações de emergências durante a execução das obras. </t>
  </si>
  <si>
    <t>6.9</t>
  </si>
  <si>
    <t>6.10</t>
  </si>
  <si>
    <t>6.11</t>
  </si>
  <si>
    <t>6.12</t>
  </si>
  <si>
    <t>6.13</t>
  </si>
  <si>
    <t>6.14</t>
  </si>
  <si>
    <t>6.15</t>
  </si>
  <si>
    <t>6.16</t>
  </si>
  <si>
    <t>6.17</t>
  </si>
  <si>
    <t>6.18</t>
  </si>
  <si>
    <t xml:space="preserve">Inclui as Medidas Mitigadoras previstas no P03 que tem relação direta com a excução dos serviços de engenharia necessários à implantação da obra e que também garantem o controle ambiental. </t>
  </si>
  <si>
    <t>Considera equipe técnica responsável pelas medições de ruído e elaboração de relatório técnico. Consideraram-se campanhas trimestrais.</t>
  </si>
  <si>
    <t xml:space="preserve">Trata-se das medidas de controle ambiental durante a dregagem do material, envolvendo desde a dragagem, até o transporte e encaminhamento para o tratamento adequado. </t>
  </si>
  <si>
    <t xml:space="preserve">O monitoramento da água do canal do estuário, bem como dos organismos aquáticos, são objeto dos Programas de Fauna associados. </t>
  </si>
  <si>
    <t xml:space="preserve"> Os custos de execução do Plantio e manutenção por 36 meses já foram considerados no item 5 (Plantios Compensatórios).</t>
  </si>
  <si>
    <t>Considera equipe técnica para resgate de germoplasma durante a fase de limpeza do terreno e supressão de vegetação, a cada ano de obra.
Também considera a equipe para acompanhamento das atividades de supressão de vegetação, a cada ano de obra. Inclui convênio com clínicas veterinárias para atendimento à eventuais acidentes com a fauna silvestre.</t>
  </si>
  <si>
    <t>Considera a alocação de equipe técnica para elaboração de Relatório de Requerimento de renovação da LO. Inclui Taxas de Licenciamento, conforme Decreto Nº 62.973/2017.</t>
  </si>
  <si>
    <t xml:space="preserve">Custos consideram campanhas mensais, durante 24 meses de monitoramento da qualidade do ar na saída dos Túneis. </t>
  </si>
  <si>
    <t>Nº de Campanhas (meses):</t>
  </si>
  <si>
    <t>PROGRAMAS SOCIOAMBIENTAIS DA FASE DE OPERAÇÃO</t>
  </si>
  <si>
    <t>UFESP/2024</t>
  </si>
  <si>
    <t>Valor (Mar/24)</t>
  </si>
  <si>
    <t>Fator INCC (Jan/24 - Mar/24):</t>
  </si>
  <si>
    <t>Valor (Jan/24)</t>
  </si>
  <si>
    <t>Atendendo à Lei Federal nº 13161 de 31/08/2015</t>
  </si>
  <si>
    <t>Data de Referência: 31/03/2024</t>
  </si>
  <si>
    <t>72.02.12.99.04</t>
  </si>
  <si>
    <t xml:space="preserve">VEICULO C/CAPAC.P/4 PES.1.300CC COND.D                                         </t>
  </si>
  <si>
    <t>72.02.12.99.05</t>
  </si>
  <si>
    <t xml:space="preserve">VEICULO C/CAPAC.P/4 PES. 1.300CC COND. E                                       </t>
  </si>
  <si>
    <t>72.02.12.99.06</t>
  </si>
  <si>
    <t xml:space="preserve">VEICULO C/CAPAC.P/4 PES. 1.300CC COND. F                                       </t>
  </si>
  <si>
    <t>UFESP/2024:</t>
  </si>
  <si>
    <t>115,54 % sobre mão de obra horista (hora)</t>
  </si>
  <si>
    <t>Data base: março/2024</t>
  </si>
  <si>
    <t>01.02.01.100.02</t>
  </si>
  <si>
    <t>Relatório de avaliação preliminar para área entre 25.001 m² até 75.000 m²</t>
  </si>
  <si>
    <t>01.02.01.200.17</t>
  </si>
  <si>
    <t>Avaliação dos resultados e elaboração do Relatório de Investigação Confirmatória</t>
  </si>
  <si>
    <t>01.02.01.300.05</t>
  </si>
  <si>
    <t>Avaliação dos Estudos existentes e elaboração do Plano de Amostragem</t>
  </si>
  <si>
    <t>Vegetação</t>
  </si>
  <si>
    <t xml:space="preserve">Corte de árvores isoladas e em extinção </t>
  </si>
  <si>
    <t>Estimativa de Compensação total (ha)</t>
  </si>
  <si>
    <t>Transporte de resíduos classe I - perigoso (Distância Unidade Tratamento: 100 km)</t>
  </si>
  <si>
    <t xml:space="preserve">Considerou-se a execução em 15 Áreas Potencialmente Contaminadas, conforme Estudo de Avaliação Preliminar. </t>
  </si>
  <si>
    <t>Jardim Progresso</t>
  </si>
  <si>
    <t>https://www.zapimoveis.com.br/imovel/venda-terreno-lote-condominio-jardim-progresso-guaruja-sp-1100000m2-id-2654222556/?_gl=1*r12fvd*_ga*MTE3NzcyNTAzLjE3MTgzOTM3MTE.*_ga_SP7M9MSCB3*MTcxODM5Mzc4Mi4xLjAuMTcxODM5Mzc4Mi42MC4wLjA.</t>
  </si>
  <si>
    <t>Nº de Pontos (Ictiofauna):</t>
  </si>
  <si>
    <t>Dias de Campo - Ictiofauna:</t>
  </si>
  <si>
    <t>Nº Áreas Amostrais Ictiofauna:</t>
  </si>
  <si>
    <t>Análise Química Fito, Zoo e Bentos - Fauna Aquática (R$):</t>
  </si>
  <si>
    <t>ITEM</t>
  </si>
  <si>
    <t>VALOR / MIL (R$)</t>
  </si>
  <si>
    <t>CAPEX SOCIOAMBIENTAL</t>
  </si>
  <si>
    <t>OPEX SOCIOAMBIENTAL</t>
  </si>
  <si>
    <t>Os locais para implantação de caixa de produtos perigosos podem ser alterados durante a elaboração do Programa de Gerenciamento de Risco / Plano de Ação de Emergência (PGR/PAE). Preliminarmente, assmiu-se a instalação de 02 Caixas, considerando as duas margens do túnel (Santos e Guarujá).</t>
  </si>
  <si>
    <t xml:space="preserve">De acordo com o levantamento inicial do Projeto Referencial da DERSA, está prevista a supressão de 2,54 ha de vegetação nativa e ainda 352 ávores isoladas. </t>
  </si>
  <si>
    <t xml:space="preserve">Foi considerado que será outorgada a interferência pelo rebaixamento do lençol freático para execução das atividades de escavação das valas. </t>
  </si>
  <si>
    <t>Vegetação nativa de restinga em estágio médio</t>
  </si>
  <si>
    <t>Vegetação nativa de restinga em estágio inicial</t>
  </si>
  <si>
    <t>Vegetação de Mangue</t>
  </si>
  <si>
    <t xml:space="preserve">A estimativa resultou num montante de 2,75 ha a ser compensado, em função da supressão de vegetação. </t>
  </si>
  <si>
    <t>MEF</t>
  </si>
  <si>
    <t>Estimativa Nº de Famílias Afetadas Regulares:</t>
  </si>
  <si>
    <t>Apoio à Mudança</t>
  </si>
  <si>
    <t>CUSTO APOIO À MUDANÇA</t>
  </si>
  <si>
    <t>Estimativa Nº de Imóveis Comerciais (Tipo 1):</t>
  </si>
  <si>
    <t>Estimativa Nº de Imóveis Comerciais (Tipo 2):</t>
  </si>
  <si>
    <t>Estimativa Nº de Imóveis Institucionais:</t>
  </si>
  <si>
    <t>Notas:</t>
  </si>
  <si>
    <t>Valor do CUB/m² (Galpão Industrial - GI)</t>
  </si>
  <si>
    <t>LUCRO CESSANTE (COMÉRCIO - TIPO 1)</t>
  </si>
  <si>
    <t>LUCRO CESSANTE (COMÉRCIO - TIPO 2)</t>
  </si>
  <si>
    <t>INDENIZAÇÃO COMPLEMENTAR</t>
  </si>
  <si>
    <t>TIPO</t>
  </si>
  <si>
    <t xml:space="preserve">DURAÇÃO </t>
  </si>
  <si>
    <t>APLICAÇÃO</t>
  </si>
  <si>
    <t>VALOR UNITÁRIO (R$)</t>
  </si>
  <si>
    <t>ÚNICA</t>
  </si>
  <si>
    <t>TEMPORÁRIA</t>
  </si>
  <si>
    <t>TOTAL (R$)</t>
  </si>
  <si>
    <t>(iI) Imóveis Tipo 1: Comércio de bairro (lanchonetes, lojas de utilidaes, etc.)</t>
  </si>
  <si>
    <t>(i) Estimativa obtida no EIA/RIMA da DERSA, 2014</t>
  </si>
  <si>
    <t>Lucro Cessante (Tipo 1)</t>
  </si>
  <si>
    <t>Lucro Cessante (Tipo 2)</t>
  </si>
  <si>
    <t>DESAPROPRIAÇÃO:</t>
  </si>
  <si>
    <t>INDENIZAÇÃO COMPLEMENTAR:</t>
  </si>
  <si>
    <t>Indenização pelos terrenos e edificações regulares afetadas pelas Obras do Túnel no Guarujá/SP</t>
  </si>
  <si>
    <t xml:space="preserve">Considerou-se a afetação em 21 edificações, em uma área total de 6.002 m² no Guraujá, conforme dados do EIA/RIMA, 2014. </t>
  </si>
  <si>
    <t>Indenização Complementar</t>
  </si>
  <si>
    <t>Indenização pelos terrenos e edificações regulares afetadas pelas Obras do Túnel em Santos/SP</t>
  </si>
  <si>
    <t xml:space="preserve">Considerou-se a afetação em 61 edificações, em uma área total de 48.792 m² em Santos, conforme dados do EIA/RIMA, 2014. </t>
  </si>
  <si>
    <t>Contempla o pagamento de indenizações pelo terreno e benfeitoria das edificações afetadas.</t>
  </si>
  <si>
    <t>Os valores de Compensação Ambiental se encontram calculados diretamente na planilha MEF, tendo em vista que o CAPEX das obras está vinculado nessa planilha.</t>
  </si>
  <si>
    <t>Considera os custos com apoio à mudança para as famílias e lucro cessante para os usos comerciais e institucionais.</t>
  </si>
  <si>
    <t>(iii) Imóveis Tipo 2: Comércio de bairro (Galpões)</t>
  </si>
  <si>
    <t>(iv) Imóveis Institucionais: foram considerados apenas os templos religiosos e loja maçônica, conforme dados do Relatório Complementar do EIA/RIMA, 2014)</t>
  </si>
  <si>
    <t>Estimou-se um total de 164 famílias em Santos e 32 no Guarujá. Em relação aos imóveis comerciais e de serviços, estimou-se 41 unidades em Santos e 02 no Guarujá. Além disso, foram considerados 04 imóveis institucionais (dados obtidos no EIA/RIMA da DERSA, 2014).</t>
  </si>
  <si>
    <t xml:space="preserve">Programa de Detalhamento do Projeto para Atender a Condicionantes
Urbanoambientais </t>
  </si>
  <si>
    <t xml:space="preserve">Programa de Gestão Ambiental do Empreendimento </t>
  </si>
  <si>
    <t>Plano de Controle Ambiental da Construção – PCA</t>
  </si>
  <si>
    <t>Programa de Controle de Processos Erosivos e de Assoreamento</t>
  </si>
  <si>
    <t>Programa de Controle da Dragagem e da Disposição de Sedimentos</t>
  </si>
  <si>
    <t>Programa de Compensação Ambiental</t>
  </si>
  <si>
    <t>Considera campanhas quadrimestrais de monitoramento de fauna nos módulos amostrais a serem definidos no licenciamento das obras previstas, sendo composto pela equipe técnica responsável pelos Grupos Focais: avifauna e fauna aquática, conforme definido no licenciamento do empreendimento e com base no estabelecido na Resolução SMA Nº 92/2014, Resolução SMA Nº 36/2018 e na Decisão de Diretoria CETESB Nº 167/2015/C.</t>
  </si>
  <si>
    <t>Programa de Manejo e Recomposição Vegetal
Subprograma de Resgate de Fauna e Flora</t>
  </si>
  <si>
    <t>Programa de Desapropriação</t>
  </si>
  <si>
    <t>Os custos de indenização pela desapropriação se encontram apresentados no Item 5.0.</t>
  </si>
  <si>
    <t xml:space="preserve">Contempla equipe necessária para o levantamento e cadastramento das edificações e obras de infraestrutura lindeiras e o monitoramento ao longo da fase de obras. </t>
  </si>
  <si>
    <t>Plano de Controle Ambiental da Construção – PCA - Controle de emissõe atmosféricas</t>
  </si>
  <si>
    <t xml:space="preserve">Plano de Controle Ambiental da Construção – PCA - Treinamento e capacitação ambiental da mão de obra </t>
  </si>
  <si>
    <t>Plano de Controle Ambiental da Construção – PCA - Monitoramento dos Níveis de Ruído durante a implantação</t>
  </si>
  <si>
    <t>Plano de Controle Ambiental da Construção – PCA - Gestão de Riscos e Plano de Ação em Emergências</t>
  </si>
  <si>
    <t xml:space="preserve">Programa de Manejo e Recomposição Vegetal - Controle da Supressão de Vegetação </t>
  </si>
  <si>
    <t>Programa de Monitoramento de Fauna - Avifauna e  Monitoramento da Biota Aquática</t>
  </si>
  <si>
    <t>Programa de Monitoramento de Recalques e Subsidências em Edifícios Lindeiros</t>
  </si>
  <si>
    <t>Profissional Pleno (Avaliação de Imóveis)</t>
  </si>
  <si>
    <t>Profissional Sênior (Avaliação de Imóveis)</t>
  </si>
  <si>
    <t>Equipe Técnica - Campo - Cadastro e Laudo Cautelar</t>
  </si>
  <si>
    <t>Equipe Técnica - Cadastro e Laudo Cautelar</t>
  </si>
  <si>
    <t>Despesas Gerais - Cadastro e Laudo Cautelar</t>
  </si>
  <si>
    <t>Equipe Técnica - Monitoramento de Recalques e Subsidências</t>
  </si>
  <si>
    <t>Despesas Gerais - Monitoramento de Recalques e Subsidências</t>
  </si>
  <si>
    <t>Dias de Escritório - Cadastro Laudo Cautelar - Sênior</t>
  </si>
  <si>
    <t>Dias de Escritório - Cadastro Laudo Cautelar - Pleno</t>
  </si>
  <si>
    <t xml:space="preserve">Dias de Campo - Cadastro Laudo Cautelar </t>
  </si>
  <si>
    <t>Dias de Escritório - Monitoramento - Sênior</t>
  </si>
  <si>
    <t>Dias de Escritório - Monitoramento - Pleno</t>
  </si>
  <si>
    <t>Dias de Escritório - Monitoramento - SIG</t>
  </si>
  <si>
    <t>Dias de Escritório - Cadastro Laudo Cautelar - SIG</t>
  </si>
  <si>
    <t xml:space="preserve">Dias de Campo - Monitoramento </t>
  </si>
  <si>
    <t>Despesas Materiais:</t>
  </si>
  <si>
    <t>Duração Programa - Serviços Preliminares</t>
  </si>
  <si>
    <t>Duração Programa - Contínuo (Quadrimestral)</t>
  </si>
  <si>
    <t>Diárias - Profissional Pleno (Avaliação de Imóveis)</t>
  </si>
  <si>
    <t>Despesas Materiais</t>
  </si>
  <si>
    <t>CUSTO TOTAL / FASE DE MONITORAMENTO</t>
  </si>
  <si>
    <t>CUSTO TOTAL / FASE DE SERVIÇOS PRELIMINARES</t>
  </si>
  <si>
    <t>CUSTO / CADASTRO E LAUDO CAUTELAR</t>
  </si>
  <si>
    <t>Subprograma de Monitoramento da Qualidade das Águas</t>
  </si>
  <si>
    <t>Análises Químicas:</t>
  </si>
  <si>
    <t>Nota (1): Quantidades obtidas no Registro Público de Emissões (FGV / GHG Protocol)</t>
  </si>
  <si>
    <t>7.6</t>
  </si>
  <si>
    <t>Programa Carbono Neutro</t>
  </si>
  <si>
    <t>7.4</t>
  </si>
  <si>
    <t>Renovação da Licença de Operação do Túnel Imerso</t>
  </si>
  <si>
    <t>Equipe técnica responsável pelo acompanhamento mensal das atividades de manutenção e conservação do Túnel, com vistas à verificação da implantação dos controles ambientais (gestão de resíduos sólidos, efluentes, sinalização, manejo de produtos perigosos, entre outros) e reporte para a equipe de meio ambiente da Concessionária.  Inclui a elaboração do Relatório Anual de Desempenho Ambiental - RADA.</t>
  </si>
  <si>
    <t>Assumiu-se que as atividades de supervisão ambiental Programa, além de serem focadas no acompanhamento dos serviços de manutenção e conserva.</t>
  </si>
  <si>
    <t xml:space="preserve">Custos consideram campanhas semestrais de análise da qualidade da água do Canal. </t>
  </si>
  <si>
    <t xml:space="preserve">Custos consideram campanhas semestrais de monitoramento de ruído em áreas com ocupação lindeira próximasao sistema viário do Túnel. </t>
  </si>
  <si>
    <t xml:space="preserve">Convênio Instituições de Proteção e Defesa dos Animais </t>
  </si>
  <si>
    <t>Convênio ONGs Defesa de Animais</t>
  </si>
  <si>
    <t>Programa de Controle da Fauna Doméstica e Sinantrópica</t>
  </si>
  <si>
    <t xml:space="preserve">Contempla um custo mensal fixo para estabelecimento de parcerias com instituições dos municípios para destinação dos animais encontrados no viário do Túnel, com apoio à castração e vacinação. </t>
  </si>
  <si>
    <t>OPEX SOCIOAMBIENTAL - TÚNEL IMERSO</t>
  </si>
  <si>
    <t>CUSTOS TOTAIS (24 ANOS):</t>
  </si>
  <si>
    <t>Custos consideram a execução de plantio de mudas (reflorestamento), a partir do cálculo das emissões de carbono equivalente nos Escopos 1 e 2 ao longo de toda a Concessão.</t>
  </si>
  <si>
    <t xml:space="preserve">Considerou-se a renovação a cada 02 anos, no prazo de Concessão de 24 anos.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</si>
</sst>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8" formatCode="&quot;R$&quot;\ #,##0.00;[Red]\-&quot;R$&quot;\ #,##0.00"/>
    <numFmt numFmtId="44" formatCode="_-&quot;R$&quot;\ * #,##0.00_-;\-&quot;R$&quot;\ * #,##0.00_-;_-&quot;R$&quot;\ * &quot;-&quot;??_-;_-@_-"/>
    <numFmt numFmtId="43" formatCode="_-* #,##0.00_-;\-* #,##0.00_-;_-* &quot;-&quot;??_-;_-@_-"/>
    <numFmt numFmtId="164" formatCode="&quot;R$ &quot;#,##0.00"/>
    <numFmt numFmtId="165" formatCode="&quot;R$&quot;\ #,##0.00"/>
    <numFmt numFmtId="166" formatCode="#,##0.000_);\-#,##0.000_);&quot;&quot;"/>
    <numFmt numFmtId="167" formatCode="_([$€]* #,##0.00_);_([$€]* \(#,##0.00\);_([$€]* &quot;-&quot;??_);_(@_)"/>
    <numFmt numFmtId="168" formatCode="_-* #,##0_-;\-* #,##0_-;_-* &quot;-&quot;??_-;_-@_-"/>
    <numFmt numFmtId="169" formatCode="#,##0_ ;\-#,##0\ "/>
    <numFmt numFmtId="170" formatCode="_(* #,##0_);_(* \(#,##0\);_(* &quot;-&quot;??_);_(@_)"/>
    <numFmt numFmtId="171" formatCode="&quot;Ano&quot;\ General"/>
    <numFmt numFmtId="172" formatCode="_(* #,##0.00_);_(* \(#,##0.00\);_(* &quot;-&quot;??_);_(@_)"/>
    <numFmt numFmtId="173" formatCode="_-* #,##0.000_-;\-* #,##0.000_-;_-* &quot;-&quot;??_-;_-@_-"/>
    <numFmt numFmtId="174" formatCode="_-* #,##0.0000000000000000000000000000_-;\-* #,##0.0000000000000000000000000000_-;_-* &quot;-&quot;???_-;_-@_-"/>
    <numFmt numFmtId="175" formatCode="&quot;R$&quot;#,##0.00;[Red]\-&quot;R$&quot;#,##0.00"/>
    <numFmt numFmtId="176" formatCode="0.000"/>
  </numFmts>
  <fonts count="43" x14ac:knownFonts="1">
    <font>
      <sz val="11"/>
      <color theme="1"/>
      <name val="Calibri"/>
      <family val="2"/>
      <scheme val="minor"/>
    </font>
    <font>
      <sz val="11"/>
      <color theme="1"/>
      <name val="Calibri"/>
      <family val="2"/>
      <scheme val="minor"/>
    </font>
    <font>
      <b/>
      <sz val="11"/>
      <color theme="1"/>
      <name val="Calibri"/>
      <family val="2"/>
      <scheme val="minor"/>
    </font>
    <font>
      <sz val="11"/>
      <name val="Calibri"/>
      <family val="2"/>
    </font>
    <font>
      <b/>
      <sz val="10"/>
      <color theme="1"/>
      <name val="Arial"/>
      <family val="2"/>
    </font>
    <font>
      <sz val="10"/>
      <color theme="1"/>
      <name val="Arial"/>
      <family val="2"/>
    </font>
    <font>
      <b/>
      <sz val="12"/>
      <color theme="1"/>
      <name val="Arial"/>
      <family val="2"/>
    </font>
    <font>
      <sz val="10"/>
      <name val="Arial"/>
      <family val="2"/>
    </font>
    <font>
      <b/>
      <sz val="10"/>
      <name val="Arial"/>
      <family val="2"/>
    </font>
    <font>
      <sz val="11"/>
      <color theme="1"/>
      <name val="Arial"/>
      <family val="2"/>
    </font>
    <font>
      <b/>
      <sz val="11"/>
      <color theme="1"/>
      <name val="Arial"/>
      <family val="2"/>
    </font>
    <font>
      <sz val="9"/>
      <color theme="1"/>
      <name val="Arial"/>
      <family val="2"/>
    </font>
    <font>
      <sz val="9"/>
      <name val="Arial"/>
      <family val="2"/>
    </font>
    <font>
      <sz val="8"/>
      <name val="Calibri"/>
      <family val="2"/>
      <scheme val="minor"/>
    </font>
    <font>
      <sz val="10"/>
      <color theme="1"/>
      <name val="Calibri"/>
      <family val="2"/>
      <scheme val="minor"/>
    </font>
    <font>
      <b/>
      <sz val="10"/>
      <color theme="1"/>
      <name val="Calibri"/>
      <family val="2"/>
      <scheme val="minor"/>
    </font>
    <font>
      <b/>
      <sz val="10"/>
      <color rgb="FF000000"/>
      <name val="Arial"/>
      <family val="2"/>
    </font>
    <font>
      <b/>
      <u/>
      <sz val="10"/>
      <color theme="1"/>
      <name val="Arial"/>
      <family val="2"/>
    </font>
    <font>
      <b/>
      <sz val="9"/>
      <color theme="1"/>
      <name val="Arial"/>
      <family val="2"/>
    </font>
    <font>
      <b/>
      <sz val="9"/>
      <color rgb="FF000000"/>
      <name val="Arial"/>
      <family val="2"/>
    </font>
    <font>
      <sz val="9"/>
      <color rgb="FF000000"/>
      <name val="Arial"/>
      <family val="2"/>
    </font>
    <font>
      <sz val="8"/>
      <color theme="1"/>
      <name val="Arial"/>
      <family val="2"/>
    </font>
    <font>
      <b/>
      <sz val="8"/>
      <color theme="1"/>
      <name val="Arial"/>
      <family val="2"/>
    </font>
    <font>
      <b/>
      <sz val="9"/>
      <name val="Arial"/>
      <family val="2"/>
    </font>
    <font>
      <b/>
      <sz val="15"/>
      <color theme="3"/>
      <name val="Calibri"/>
      <family val="2"/>
      <scheme val="minor"/>
    </font>
    <font>
      <sz val="11"/>
      <color rgb="FF3F3F76"/>
      <name val="Calibri"/>
      <family val="2"/>
      <scheme val="minor"/>
    </font>
    <font>
      <b/>
      <sz val="11"/>
      <color rgb="FF3F3F3F"/>
      <name val="Calibri"/>
      <family val="2"/>
      <scheme val="minor"/>
    </font>
    <font>
      <b/>
      <i/>
      <sz val="9"/>
      <color theme="1"/>
      <name val="Arial"/>
      <family val="2"/>
    </font>
    <font>
      <sz val="9"/>
      <color rgb="FFFF0000"/>
      <name val="Arial"/>
      <family val="2"/>
    </font>
    <font>
      <vertAlign val="superscript"/>
      <sz val="9"/>
      <color theme="1"/>
      <name val="Arial"/>
      <family val="2"/>
    </font>
    <font>
      <vertAlign val="subscript"/>
      <sz val="9"/>
      <color theme="1"/>
      <name val="Arial"/>
      <family val="2"/>
    </font>
    <font>
      <sz val="11"/>
      <color rgb="FF000000"/>
      <name val="Calibri"/>
      <family val="2"/>
    </font>
    <font>
      <sz val="18"/>
      <color theme="1"/>
      <name val="Calibri"/>
      <family val="2"/>
      <scheme val="minor"/>
    </font>
    <font>
      <b/>
      <sz val="20"/>
      <color theme="3"/>
      <name val="Calibri"/>
      <family val="2"/>
      <scheme val="minor"/>
    </font>
    <font>
      <b/>
      <sz val="11"/>
      <color indexed="8"/>
      <name val="Calibri"/>
      <family val="2"/>
      <scheme val="minor"/>
    </font>
    <font>
      <sz val="10"/>
      <color indexed="8"/>
      <name val="Arial"/>
      <family val="2"/>
    </font>
    <font>
      <b/>
      <sz val="10"/>
      <color indexed="8"/>
      <name val="Arial"/>
      <family val="2"/>
    </font>
    <font>
      <sz val="8"/>
      <name val="Arial"/>
      <family val="2"/>
    </font>
    <font>
      <b/>
      <sz val="10"/>
      <color indexed="9"/>
      <name val="Arial"/>
      <family val="2"/>
    </font>
    <font>
      <b/>
      <sz val="11"/>
      <name val="Arial"/>
      <family val="2"/>
    </font>
    <font>
      <b/>
      <sz val="10"/>
      <color rgb="FF3F3F3F"/>
      <name val="Calibri"/>
      <family val="2"/>
      <scheme val="minor"/>
    </font>
    <font>
      <sz val="10"/>
      <color rgb="FF3F3F76"/>
      <name val="Calibri"/>
      <family val="2"/>
      <scheme val="minor"/>
    </font>
    <font>
      <b/>
      <u/>
      <sz val="8"/>
      <color theme="1"/>
      <name val="Arial"/>
      <family val="2"/>
    </font>
  </fonts>
  <fills count="16">
    <fill>
      <patternFill patternType="none"/>
    </fill>
    <fill>
      <patternFill patternType="gray125"/>
    </fill>
    <fill>
      <patternFill patternType="solid">
        <fgColor theme="0" tint="-0.14999847407452621"/>
        <bgColor indexed="64"/>
      </patternFill>
    </fill>
    <fill>
      <patternFill patternType="solid">
        <fgColor rgb="FFD9D9D9"/>
        <bgColor indexed="64"/>
      </patternFill>
    </fill>
    <fill>
      <patternFill patternType="solid">
        <fgColor theme="1" tint="0.34998626667073579"/>
        <bgColor indexed="64"/>
      </patternFill>
    </fill>
    <fill>
      <patternFill patternType="solid">
        <fgColor theme="0" tint="-0.34998626667073579"/>
        <bgColor indexed="64"/>
      </patternFill>
    </fill>
    <fill>
      <patternFill patternType="solid">
        <fgColor rgb="FFD9D9D9"/>
        <bgColor rgb="FFD9D9D9"/>
      </patternFill>
    </fill>
    <fill>
      <patternFill patternType="solid">
        <fgColor rgb="FFD8D8D8"/>
        <bgColor rgb="FFD8D8D8"/>
      </patternFill>
    </fill>
    <fill>
      <patternFill patternType="solid">
        <fgColor rgb="FF595959"/>
        <bgColor rgb="FF595959"/>
      </patternFill>
    </fill>
    <fill>
      <patternFill patternType="solid">
        <fgColor rgb="FFFFFF00"/>
        <bgColor indexed="64"/>
      </patternFill>
    </fill>
    <fill>
      <patternFill patternType="solid">
        <fgColor rgb="FFFFCC99"/>
      </patternFill>
    </fill>
    <fill>
      <patternFill patternType="solid">
        <fgColor rgb="FFF2F2F2"/>
      </patternFill>
    </fill>
    <fill>
      <patternFill patternType="solid">
        <fgColor theme="4" tint="0.79998168889431442"/>
        <bgColor indexed="0"/>
      </patternFill>
    </fill>
    <fill>
      <patternFill patternType="solid">
        <fgColor indexed="9"/>
        <bgColor indexed="64"/>
      </patternFill>
    </fill>
    <fill>
      <patternFill patternType="solid">
        <fgColor indexed="10"/>
        <bgColor indexed="64"/>
      </patternFill>
    </fill>
    <fill>
      <patternFill patternType="solid">
        <fgColor indexed="22"/>
        <bgColor indexed="64"/>
      </patternFill>
    </fill>
  </fills>
  <borders count="43">
    <border>
      <left/>
      <right/>
      <top/>
      <bottom/>
      <diagonal/>
    </border>
    <border>
      <left style="thin">
        <color indexed="64"/>
      </left>
      <right/>
      <top style="thin">
        <color indexed="64"/>
      </top>
      <bottom style="thin">
        <color indexed="64"/>
      </bottom>
      <diagonal/>
    </border>
    <border>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auto="1"/>
      </right>
      <top style="thin">
        <color auto="1"/>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auto="1"/>
      </right>
      <top/>
      <bottom style="thin">
        <color auto="1"/>
      </bottom>
      <diagonal/>
    </border>
    <border>
      <left style="thin">
        <color theme="0"/>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theme="0"/>
      </left>
      <right style="thin">
        <color indexed="64"/>
      </right>
      <top style="thin">
        <color indexed="64"/>
      </top>
      <bottom style="thin">
        <color indexed="64"/>
      </bottom>
      <diagonal/>
    </border>
    <border>
      <left style="thin">
        <color indexed="64"/>
      </left>
      <right/>
      <top style="thin">
        <color rgb="FF000000"/>
      </top>
      <bottom style="thin">
        <color indexed="64"/>
      </bottom>
      <diagonal/>
    </border>
    <border>
      <left/>
      <right style="thin">
        <color indexed="64"/>
      </right>
      <top style="thin">
        <color rgb="FF000000"/>
      </top>
      <bottom style="thin">
        <color indexed="64"/>
      </bottom>
      <diagonal/>
    </border>
    <border>
      <left style="medium">
        <color indexed="64"/>
      </left>
      <right style="medium">
        <color indexed="64"/>
      </right>
      <top style="medium">
        <color indexed="64"/>
      </top>
      <bottom style="medium">
        <color indexed="64"/>
      </bottom>
      <diagonal/>
    </border>
    <border>
      <left/>
      <right style="thin">
        <color rgb="FF000000"/>
      </right>
      <top style="thin">
        <color indexed="64"/>
      </top>
      <bottom style="thin">
        <color indexed="64"/>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auto="1"/>
      </left>
      <right/>
      <top/>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9"/>
      </left>
      <right style="thin">
        <color indexed="64"/>
      </right>
      <top style="thin">
        <color indexed="64"/>
      </top>
      <bottom style="thin">
        <color indexed="64"/>
      </bottom>
      <diagonal/>
    </border>
    <border>
      <left style="hair">
        <color indexed="9"/>
      </left>
      <right style="hair">
        <color indexed="9"/>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s>
  <cellStyleXfs count="28">
    <xf numFmtId="0" fontId="0" fillId="0" borderId="0"/>
    <xf numFmtId="43" fontId="1" fillId="0" borderId="0" applyFont="0" applyFill="0" applyBorder="0" applyAlignment="0" applyProtection="0"/>
    <xf numFmtId="44" fontId="1" fillId="0" borderId="0" applyFont="0" applyFill="0" applyBorder="0" applyAlignment="0" applyProtection="0"/>
    <xf numFmtId="0" fontId="3" fillId="0" borderId="0"/>
    <xf numFmtId="44" fontId="1" fillId="0" borderId="0" applyFont="0" applyFill="0" applyBorder="0" applyAlignment="0" applyProtection="0"/>
    <xf numFmtId="0" fontId="14" fillId="0" borderId="0"/>
    <xf numFmtId="44" fontId="14" fillId="0" borderId="0" applyFont="0" applyFill="0" applyBorder="0" applyAlignment="0" applyProtection="0"/>
    <xf numFmtId="0" fontId="1" fillId="0" borderId="0"/>
    <xf numFmtId="44" fontId="1" fillId="0" borderId="0" applyFont="0" applyFill="0" applyBorder="0" applyAlignment="0" applyProtection="0"/>
    <xf numFmtId="0" fontId="7" fillId="0" borderId="0" applyNumberFormat="0" applyFill="0" applyBorder="0" applyAlignment="0" applyProtection="0"/>
    <xf numFmtId="43" fontId="1" fillId="0" borderId="0" applyFont="0" applyFill="0" applyBorder="0" applyAlignment="0" applyProtection="0"/>
    <xf numFmtId="0" fontId="1" fillId="0" borderId="0"/>
    <xf numFmtId="167" fontId="1" fillId="0" borderId="0"/>
    <xf numFmtId="0" fontId="7" fillId="0" borderId="0"/>
    <xf numFmtId="43" fontId="1" fillId="0" borderId="0" applyFont="0" applyFill="0" applyBorder="0" applyAlignment="0" applyProtection="0"/>
    <xf numFmtId="9" fontId="1" fillId="0" borderId="0" applyFont="0" applyFill="0" applyBorder="0" applyAlignment="0" applyProtection="0"/>
    <xf numFmtId="0" fontId="24" fillId="0" borderId="29" applyNumberFormat="0" applyFill="0" applyAlignment="0" applyProtection="0"/>
    <xf numFmtId="0" fontId="25" fillId="10" borderId="30" applyNumberFormat="0" applyAlignment="0" applyProtection="0"/>
    <xf numFmtId="0" fontId="26" fillId="11" borderId="31" applyNumberFormat="0" applyAlignment="0" applyProtection="0"/>
    <xf numFmtId="0" fontId="2" fillId="0" borderId="32" applyNumberFormat="0" applyFill="0" applyAlignment="0" applyProtection="0"/>
    <xf numFmtId="0" fontId="31" fillId="0" borderId="0"/>
    <xf numFmtId="43" fontId="1" fillId="0" borderId="0" applyFont="0" applyFill="0" applyBorder="0" applyAlignment="0" applyProtection="0"/>
    <xf numFmtId="44" fontId="1" fillId="0" borderId="0" applyFont="0" applyFill="0" applyBorder="0" applyAlignment="0" applyProtection="0"/>
    <xf numFmtId="0" fontId="7" fillId="0" borderId="0"/>
    <xf numFmtId="172" fontId="7" fillId="0" borderId="0" applyFont="0" applyFill="0" applyBorder="0" applyAlignment="0" applyProtection="0"/>
    <xf numFmtId="0" fontId="7" fillId="0" borderId="0"/>
    <xf numFmtId="172" fontId="7" fillId="0" borderId="0" applyFont="0" applyFill="0" applyBorder="0" applyAlignment="0" applyProtection="0"/>
    <xf numFmtId="43" fontId="1" fillId="0" borderId="0" applyFont="0" applyFill="0" applyBorder="0" applyAlignment="0" applyProtection="0"/>
  </cellStyleXfs>
  <cellXfs count="430">
    <xf numFmtId="0" fontId="0" fillId="0" borderId="0" xfId="0"/>
    <xf numFmtId="0" fontId="5" fillId="0" borderId="0" xfId="0" applyFont="1"/>
    <xf numFmtId="0" fontId="4" fillId="0" borderId="8" xfId="0" applyFont="1" applyBorder="1" applyAlignment="1">
      <alignment horizontal="center" vertical="center"/>
    </xf>
    <xf numFmtId="0" fontId="5" fillId="0" borderId="8" xfId="0" applyFont="1" applyBorder="1"/>
    <xf numFmtId="44" fontId="5" fillId="0" borderId="8" xfId="2" applyFont="1" applyBorder="1"/>
    <xf numFmtId="44" fontId="5" fillId="0" borderId="8" xfId="0" applyNumberFormat="1" applyFont="1" applyBorder="1"/>
    <xf numFmtId="0" fontId="17" fillId="0" borderId="0" xfId="0" applyFont="1"/>
    <xf numFmtId="0" fontId="0" fillId="0" borderId="0" xfId="0" applyAlignment="1">
      <alignment horizontal="center"/>
    </xf>
    <xf numFmtId="0" fontId="11" fillId="0" borderId="0" xfId="0" applyFont="1"/>
    <xf numFmtId="0" fontId="20" fillId="0" borderId="0" xfId="0" applyFont="1"/>
    <xf numFmtId="0" fontId="20" fillId="0" borderId="20" xfId="0" applyFont="1" applyBorder="1" applyAlignment="1">
      <alignment horizontal="center" vertical="center" wrapText="1"/>
    </xf>
    <xf numFmtId="0" fontId="20" fillId="0" borderId="20" xfId="0" applyFont="1" applyBorder="1" applyAlignment="1">
      <alignment horizontal="justify" vertical="center" wrapText="1"/>
    </xf>
    <xf numFmtId="0" fontId="20" fillId="0" borderId="8" xfId="0" applyFont="1" applyBorder="1" applyAlignment="1">
      <alignment horizontal="right" vertical="center"/>
    </xf>
    <xf numFmtId="0" fontId="20" fillId="0" borderId="8" xfId="0" applyFont="1" applyBorder="1" applyAlignment="1">
      <alignment horizontal="center" vertical="center" wrapText="1"/>
    </xf>
    <xf numFmtId="0" fontId="19" fillId="7" borderId="17" xfId="0" applyFont="1" applyFill="1" applyBorder="1" applyAlignment="1">
      <alignment horizontal="right"/>
    </xf>
    <xf numFmtId="0" fontId="20" fillId="0" borderId="16" xfId="0" applyFont="1" applyBorder="1" applyAlignment="1">
      <alignment horizontal="right" vertical="center"/>
    </xf>
    <xf numFmtId="0" fontId="20" fillId="0" borderId="16" xfId="0" applyFont="1" applyBorder="1" applyAlignment="1">
      <alignment horizontal="center" vertical="center" wrapText="1"/>
    </xf>
    <xf numFmtId="4" fontId="20" fillId="0" borderId="16" xfId="0" applyNumberFormat="1" applyFont="1" applyBorder="1" applyAlignment="1">
      <alignment horizontal="center" vertical="center" wrapText="1"/>
    </xf>
    <xf numFmtId="0" fontId="12" fillId="0" borderId="16" xfId="0" applyFont="1" applyBorder="1" applyAlignment="1">
      <alignment horizontal="justify" vertical="center" wrapText="1"/>
    </xf>
    <xf numFmtId="0" fontId="20" fillId="8" borderId="19" xfId="0" applyFont="1" applyFill="1" applyBorder="1" applyAlignment="1">
      <alignment horizontal="center" vertical="center" wrapText="1"/>
    </xf>
    <xf numFmtId="0" fontId="12" fillId="0" borderId="8" xfId="0" applyFont="1" applyBorder="1" applyAlignment="1">
      <alignment horizontal="justify" vertical="center" wrapText="1"/>
    </xf>
    <xf numFmtId="0" fontId="20" fillId="0" borderId="9" xfId="0" applyFont="1" applyBorder="1" applyAlignment="1">
      <alignment horizontal="center" vertical="center" wrapText="1"/>
    </xf>
    <xf numFmtId="0" fontId="12" fillId="0" borderId="9" xfId="0" applyFont="1" applyBorder="1" applyAlignment="1">
      <alignment horizontal="justify" vertical="center" wrapText="1"/>
    </xf>
    <xf numFmtId="0" fontId="20" fillId="0" borderId="9" xfId="0" applyFont="1" applyBorder="1" applyAlignment="1">
      <alignment horizontal="justify" vertical="center" wrapText="1"/>
    </xf>
    <xf numFmtId="0" fontId="18" fillId="2" borderId="8" xfId="0" applyFont="1" applyFill="1" applyBorder="1" applyAlignment="1">
      <alignment horizontal="right" vertical="center"/>
    </xf>
    <xf numFmtId="0" fontId="11" fillId="0" borderId="0" xfId="0" applyFont="1" applyAlignment="1">
      <alignment vertical="center"/>
    </xf>
    <xf numFmtId="0" fontId="11" fillId="0" borderId="8" xfId="0" applyFont="1" applyBorder="1" applyAlignment="1">
      <alignment horizontal="center" vertical="center" wrapText="1"/>
    </xf>
    <xf numFmtId="0" fontId="11" fillId="0" borderId="8" xfId="0" applyFont="1" applyBorder="1" applyAlignment="1">
      <alignment horizontal="justify" vertical="center" wrapText="1"/>
    </xf>
    <xf numFmtId="4" fontId="12" fillId="0" borderId="16" xfId="0" applyNumberFormat="1" applyFont="1" applyBorder="1" applyAlignment="1">
      <alignment horizontal="center" vertical="center" wrapText="1"/>
    </xf>
    <xf numFmtId="4" fontId="19" fillId="0" borderId="8" xfId="0" applyNumberFormat="1" applyFont="1" applyBorder="1" applyAlignment="1">
      <alignment horizontal="center" vertical="center" wrapText="1"/>
    </xf>
    <xf numFmtId="0" fontId="20" fillId="8" borderId="8" xfId="0" applyFont="1" applyFill="1" applyBorder="1" applyAlignment="1">
      <alignment horizontal="center" vertical="center" wrapText="1"/>
    </xf>
    <xf numFmtId="0" fontId="12" fillId="0" borderId="8" xfId="0" applyFont="1" applyBorder="1" applyAlignment="1">
      <alignment horizontal="center" vertical="center" wrapText="1"/>
    </xf>
    <xf numFmtId="44" fontId="19" fillId="5" borderId="8" xfId="2" applyFont="1" applyFill="1" applyBorder="1" applyAlignment="1">
      <alignment horizontal="center" vertical="center" wrapText="1"/>
    </xf>
    <xf numFmtId="43" fontId="11" fillId="0" borderId="0" xfId="1" applyFont="1"/>
    <xf numFmtId="43" fontId="11" fillId="0" borderId="0" xfId="0" applyNumberFormat="1" applyFont="1"/>
    <xf numFmtId="43" fontId="14" fillId="0" borderId="8" xfId="1" applyFont="1" applyBorder="1" applyAlignment="1">
      <alignment horizontal="center" vertical="center"/>
    </xf>
    <xf numFmtId="0" fontId="20" fillId="0" borderId="0" xfId="0" applyFont="1" applyAlignment="1">
      <alignment vertical="center"/>
    </xf>
    <xf numFmtId="0" fontId="19" fillId="7" borderId="8" xfId="0" applyFont="1" applyFill="1" applyBorder="1" applyAlignment="1">
      <alignment vertical="center" wrapText="1"/>
    </xf>
    <xf numFmtId="164" fontId="19" fillId="5" borderId="8" xfId="0" applyNumberFormat="1" applyFont="1" applyFill="1" applyBorder="1" applyAlignment="1">
      <alignment horizontal="center" vertical="center" wrapText="1"/>
    </xf>
    <xf numFmtId="0" fontId="11" fillId="0" borderId="8" xfId="0" applyFont="1" applyBorder="1" applyAlignment="1">
      <alignment horizontal="center"/>
    </xf>
    <xf numFmtId="0" fontId="18" fillId="0" borderId="8" xfId="0" applyFont="1" applyBorder="1" applyAlignment="1">
      <alignment horizontal="center"/>
    </xf>
    <xf numFmtId="0" fontId="18" fillId="0" borderId="8" xfId="0" applyFont="1" applyBorder="1" applyAlignment="1">
      <alignment horizontal="center" vertical="center"/>
    </xf>
    <xf numFmtId="0" fontId="11" fillId="0" borderId="8" xfId="0" applyFont="1" applyBorder="1"/>
    <xf numFmtId="44" fontId="11" fillId="0" borderId="8" xfId="2" applyFont="1" applyBorder="1"/>
    <xf numFmtId="44" fontId="18" fillId="0" borderId="8" xfId="0" applyNumberFormat="1" applyFont="1" applyBorder="1"/>
    <xf numFmtId="0" fontId="18" fillId="0" borderId="8" xfId="0" applyFont="1" applyBorder="1" applyAlignment="1">
      <alignment horizontal="center" vertical="center" wrapText="1"/>
    </xf>
    <xf numFmtId="44" fontId="18" fillId="0" borderId="8" xfId="2" applyFont="1" applyBorder="1" applyAlignment="1">
      <alignment horizontal="center" vertical="center"/>
    </xf>
    <xf numFmtId="44" fontId="11" fillId="0" borderId="8" xfId="0" applyNumberFormat="1" applyFont="1" applyBorder="1"/>
    <xf numFmtId="0" fontId="18" fillId="0" borderId="1" xfId="0" applyFont="1" applyBorder="1" applyAlignment="1">
      <alignment horizontal="right"/>
    </xf>
    <xf numFmtId="0" fontId="18" fillId="3" borderId="8" xfId="0" applyFont="1" applyFill="1" applyBorder="1" applyAlignment="1">
      <alignment horizontal="center" vertical="center" wrapText="1"/>
    </xf>
    <xf numFmtId="0" fontId="11" fillId="0" borderId="8" xfId="0" applyFont="1" applyBorder="1" applyAlignment="1">
      <alignment horizontal="right" vertical="center"/>
    </xf>
    <xf numFmtId="4" fontId="11" fillId="0" borderId="8" xfId="0" applyNumberFormat="1" applyFont="1" applyBorder="1" applyAlignment="1">
      <alignment horizontal="center" vertical="center" wrapText="1"/>
    </xf>
    <xf numFmtId="4" fontId="18" fillId="0" borderId="8" xfId="0" applyNumberFormat="1" applyFont="1" applyBorder="1" applyAlignment="1">
      <alignment horizontal="center" vertical="center" wrapText="1"/>
    </xf>
    <xf numFmtId="0" fontId="11" fillId="4" borderId="7" xfId="0" applyFont="1" applyFill="1" applyBorder="1" applyAlignment="1">
      <alignment horizontal="center" vertical="center" wrapText="1"/>
    </xf>
    <xf numFmtId="4" fontId="18" fillId="0" borderId="2" xfId="0" applyNumberFormat="1" applyFont="1" applyBorder="1" applyAlignment="1">
      <alignment horizontal="center" vertical="center" wrapText="1"/>
    </xf>
    <xf numFmtId="0" fontId="11" fillId="0" borderId="9" xfId="0" applyFont="1" applyBorder="1" applyAlignment="1">
      <alignment horizontal="justify" vertical="center" wrapText="1"/>
    </xf>
    <xf numFmtId="4" fontId="18" fillId="0" borderId="8" xfId="0" applyNumberFormat="1" applyFont="1" applyBorder="1" applyAlignment="1">
      <alignment horizontal="right" vertical="center" wrapText="1"/>
    </xf>
    <xf numFmtId="0" fontId="11" fillId="0" borderId="0" xfId="0" applyFont="1" applyAlignment="1">
      <alignment horizontal="center" vertical="center"/>
    </xf>
    <xf numFmtId="4" fontId="11" fillId="0" borderId="0" xfId="0" applyNumberFormat="1" applyFont="1"/>
    <xf numFmtId="0" fontId="18" fillId="2" borderId="1" xfId="0" applyFont="1" applyFill="1" applyBorder="1" applyAlignment="1">
      <alignment horizontal="right" vertical="center"/>
    </xf>
    <xf numFmtId="0" fontId="11" fillId="0" borderId="9" xfId="0" applyFont="1" applyBorder="1" applyAlignment="1">
      <alignment horizontal="right" vertical="center"/>
    </xf>
    <xf numFmtId="0" fontId="18" fillId="3" borderId="7" xfId="0" applyFont="1" applyFill="1" applyBorder="1" applyAlignment="1">
      <alignment horizontal="center" vertical="center" wrapText="1"/>
    </xf>
    <xf numFmtId="0" fontId="18" fillId="0" borderId="8" xfId="0" applyFont="1" applyBorder="1" applyAlignment="1">
      <alignment horizontal="right"/>
    </xf>
    <xf numFmtId="0" fontId="11" fillId="0" borderId="8" xfId="0" applyFont="1" applyBorder="1" applyAlignment="1">
      <alignment horizontal="left" vertical="top" indent="1"/>
    </xf>
    <xf numFmtId="0" fontId="11" fillId="0" borderId="8" xfId="0" applyFont="1" applyBorder="1" applyAlignment="1">
      <alignment horizontal="left" wrapText="1" indent="1"/>
    </xf>
    <xf numFmtId="166" fontId="11" fillId="0" borderId="8" xfId="0" applyNumberFormat="1" applyFont="1" applyBorder="1" applyAlignment="1">
      <alignment horizontal="right" vertical="top"/>
    </xf>
    <xf numFmtId="0" fontId="11" fillId="0" borderId="0" xfId="0" applyFont="1" applyAlignment="1">
      <alignment horizontal="left" vertical="top" indent="1"/>
    </xf>
    <xf numFmtId="0" fontId="11" fillId="0" borderId="0" xfId="0" applyFont="1" applyAlignment="1">
      <alignment horizontal="left" wrapText="1" indent="1"/>
    </xf>
    <xf numFmtId="166" fontId="11" fillId="0" borderId="0" xfId="0" applyNumberFormat="1" applyFont="1" applyAlignment="1">
      <alignment horizontal="right" vertical="top"/>
    </xf>
    <xf numFmtId="0" fontId="18" fillId="0" borderId="8" xfId="0" applyFont="1" applyBorder="1" applyAlignment="1">
      <alignment horizontal="left" vertical="top" indent="1"/>
    </xf>
    <xf numFmtId="0" fontId="18" fillId="0" borderId="8" xfId="0" applyFont="1" applyBorder="1" applyAlignment="1">
      <alignment horizontal="left" wrapText="1" indent="1"/>
    </xf>
    <xf numFmtId="0" fontId="11" fillId="0" borderId="8" xfId="0" applyFont="1" applyBorder="1" applyAlignment="1">
      <alignment horizontal="right"/>
    </xf>
    <xf numFmtId="44" fontId="11" fillId="0" borderId="0" xfId="0" applyNumberFormat="1" applyFont="1"/>
    <xf numFmtId="0" fontId="18" fillId="0" borderId="8" xfId="0" applyFont="1" applyBorder="1"/>
    <xf numFmtId="0" fontId="18" fillId="2" borderId="8" xfId="0" applyFont="1" applyFill="1" applyBorder="1" applyAlignment="1">
      <alignment wrapText="1"/>
    </xf>
    <xf numFmtId="0" fontId="11" fillId="0" borderId="15" xfId="0" applyFont="1" applyBorder="1"/>
    <xf numFmtId="0" fontId="18" fillId="0" borderId="0" xfId="0" applyFont="1" applyAlignment="1">
      <alignment horizontal="left" wrapText="1"/>
    </xf>
    <xf numFmtId="0" fontId="18" fillId="0" borderId="24" xfId="0" applyFont="1" applyBorder="1" applyAlignment="1">
      <alignment horizontal="right"/>
    </xf>
    <xf numFmtId="0" fontId="18" fillId="0" borderId="11" xfId="0" applyFont="1" applyBorder="1" applyAlignment="1">
      <alignment horizontal="center" vertical="center" wrapText="1"/>
    </xf>
    <xf numFmtId="0" fontId="11" fillId="9" borderId="8" xfId="0" applyFont="1" applyFill="1" applyBorder="1"/>
    <xf numFmtId="0" fontId="11" fillId="0" borderId="15" xfId="0" applyFont="1" applyBorder="1" applyAlignment="1">
      <alignment horizontal="right" vertical="center" wrapText="1"/>
    </xf>
    <xf numFmtId="0" fontId="11" fillId="0" borderId="8" xfId="0" applyFont="1" applyBorder="1" applyAlignment="1">
      <alignment wrapText="1"/>
    </xf>
    <xf numFmtId="0" fontId="11" fillId="0" borderId="8" xfId="0" applyFont="1" applyBorder="1" applyAlignment="1">
      <alignment horizontal="center" wrapText="1"/>
    </xf>
    <xf numFmtId="164" fontId="11" fillId="0" borderId="8" xfId="0" applyNumberFormat="1" applyFont="1" applyBorder="1" applyAlignment="1">
      <alignment horizontal="center" wrapText="1"/>
    </xf>
    <xf numFmtId="0" fontId="12" fillId="0" borderId="15" xfId="0" applyFont="1" applyBorder="1" applyAlignment="1">
      <alignment horizontal="right" vertical="top" wrapText="1"/>
    </xf>
    <xf numFmtId="43" fontId="11" fillId="0" borderId="8" xfId="1" applyFont="1" applyBorder="1" applyAlignment="1">
      <alignment horizontal="right" wrapText="1"/>
    </xf>
    <xf numFmtId="0" fontId="27" fillId="0" borderId="1" xfId="0" applyFont="1" applyBorder="1" applyAlignment="1">
      <alignment wrapText="1"/>
    </xf>
    <xf numFmtId="0" fontId="27" fillId="0" borderId="2" xfId="0" applyFont="1" applyBorder="1" applyAlignment="1">
      <alignment wrapText="1"/>
    </xf>
    <xf numFmtId="0" fontId="12" fillId="0" borderId="0" xfId="0" applyFont="1" applyAlignment="1">
      <alignment horizontal="right" vertical="top" wrapText="1"/>
    </xf>
    <xf numFmtId="164" fontId="18" fillId="0" borderId="8" xfId="0" applyNumberFormat="1" applyFont="1" applyBorder="1" applyAlignment="1">
      <alignment horizontal="center" wrapText="1"/>
    </xf>
    <xf numFmtId="0" fontId="11" fillId="0" borderId="0" xfId="0" applyFont="1" applyAlignment="1">
      <alignment horizontal="center" wrapText="1"/>
    </xf>
    <xf numFmtId="0" fontId="20" fillId="0" borderId="16" xfId="0" applyFont="1" applyBorder="1" applyAlignment="1">
      <alignment wrapText="1"/>
    </xf>
    <xf numFmtId="0" fontId="20" fillId="0" borderId="16" xfId="0" applyFont="1" applyBorder="1" applyAlignment="1">
      <alignment horizontal="center" wrapText="1"/>
    </xf>
    <xf numFmtId="164" fontId="20" fillId="0" borderId="16" xfId="0" applyNumberFormat="1" applyFont="1" applyBorder="1" applyAlignment="1">
      <alignment horizontal="center" vertical="center" wrapText="1"/>
    </xf>
    <xf numFmtId="164" fontId="20" fillId="0" borderId="16" xfId="0" applyNumberFormat="1" applyFont="1" applyBorder="1" applyAlignment="1">
      <alignment horizontal="center" wrapText="1"/>
    </xf>
    <xf numFmtId="164" fontId="11" fillId="0" borderId="8" xfId="0" applyNumberFormat="1" applyFont="1" applyBorder="1" applyAlignment="1">
      <alignment horizontal="center" vertical="center" wrapText="1"/>
    </xf>
    <xf numFmtId="1" fontId="11" fillId="0" borderId="8" xfId="0" applyNumberFormat="1" applyFont="1" applyBorder="1" applyAlignment="1">
      <alignment horizontal="center" wrapText="1"/>
    </xf>
    <xf numFmtId="164" fontId="18" fillId="0" borderId="8" xfId="0" applyNumberFormat="1" applyFont="1" applyBorder="1" applyAlignment="1">
      <alignment horizontal="center" vertical="center" wrapText="1"/>
    </xf>
    <xf numFmtId="43" fontId="11" fillId="0" borderId="8" xfId="1" applyFont="1" applyFill="1" applyBorder="1" applyAlignment="1">
      <alignment horizontal="right" wrapText="1"/>
    </xf>
    <xf numFmtId="0" fontId="11" fillId="0" borderId="0" xfId="0" applyFont="1" applyAlignment="1">
      <alignment horizontal="right" vertical="center"/>
    </xf>
    <xf numFmtId="0" fontId="11" fillId="0" borderId="15" xfId="0" applyFont="1" applyBorder="1" applyAlignment="1">
      <alignment horizontal="right" vertical="center"/>
    </xf>
    <xf numFmtId="43" fontId="11" fillId="0" borderId="8" xfId="1" applyFont="1" applyFill="1" applyBorder="1"/>
    <xf numFmtId="0" fontId="18" fillId="0" borderId="8" xfId="0" applyFont="1" applyBorder="1" applyAlignment="1">
      <alignment wrapText="1"/>
    </xf>
    <xf numFmtId="43" fontId="11" fillId="0" borderId="8" xfId="1" applyFont="1" applyBorder="1"/>
    <xf numFmtId="0" fontId="20" fillId="0" borderId="0" xfId="0" applyFont="1" applyAlignment="1">
      <alignment wrapText="1"/>
    </xf>
    <xf numFmtId="0" fontId="20" fillId="0" borderId="15" xfId="0" applyFont="1" applyBorder="1" applyAlignment="1">
      <alignment horizontal="center" vertical="center" wrapText="1"/>
    </xf>
    <xf numFmtId="43" fontId="11" fillId="0" borderId="0" xfId="1" applyFont="1" applyBorder="1"/>
    <xf numFmtId="43" fontId="11" fillId="0" borderId="8" xfId="0" applyNumberFormat="1" applyFont="1" applyBorder="1"/>
    <xf numFmtId="0" fontId="18" fillId="0" borderId="0" xfId="0" applyFont="1" applyAlignment="1">
      <alignment horizontal="right"/>
    </xf>
    <xf numFmtId="0" fontId="27" fillId="0" borderId="1" xfId="0" applyFont="1" applyBorder="1" applyAlignment="1">
      <alignment horizontal="left" wrapText="1"/>
    </xf>
    <xf numFmtId="0" fontId="27" fillId="0" borderId="2" xfId="0" applyFont="1" applyBorder="1" applyAlignment="1">
      <alignment horizontal="left" wrapText="1"/>
    </xf>
    <xf numFmtId="0" fontId="27" fillId="0" borderId="7" xfId="0" applyFont="1" applyBorder="1" applyAlignment="1">
      <alignment horizontal="left" wrapText="1"/>
    </xf>
    <xf numFmtId="0" fontId="11" fillId="0" borderId="0" xfId="0" applyFont="1" applyAlignment="1">
      <alignment horizontal="right" vertical="center" wrapText="1"/>
    </xf>
    <xf numFmtId="0" fontId="11" fillId="0" borderId="2" xfId="0" applyFont="1" applyBorder="1" applyAlignment="1">
      <alignment horizontal="center" vertical="center" wrapText="1"/>
    </xf>
    <xf numFmtId="0" fontId="11" fillId="0" borderId="2" xfId="0" applyFont="1" applyBorder="1" applyAlignment="1">
      <alignment horizontal="center" wrapText="1"/>
    </xf>
    <xf numFmtId="164" fontId="11" fillId="0" borderId="7" xfId="0" applyNumberFormat="1" applyFont="1" applyBorder="1" applyAlignment="1">
      <alignment horizontal="center" wrapText="1"/>
    </xf>
    <xf numFmtId="0" fontId="18" fillId="0" borderId="0" xfId="0" applyFont="1" applyAlignment="1">
      <alignment horizontal="right" wrapText="1"/>
    </xf>
    <xf numFmtId="164" fontId="18" fillId="0" borderId="0" xfId="0" applyNumberFormat="1" applyFont="1" applyAlignment="1">
      <alignment horizontal="center" wrapText="1"/>
    </xf>
    <xf numFmtId="0" fontId="18" fillId="0" borderId="0" xfId="0" applyFont="1"/>
    <xf numFmtId="164" fontId="18" fillId="0" borderId="7" xfId="0" applyNumberFormat="1" applyFont="1" applyBorder="1" applyAlignment="1">
      <alignment horizontal="center" wrapText="1"/>
    </xf>
    <xf numFmtId="165" fontId="18" fillId="0" borderId="7" xfId="0" applyNumberFormat="1" applyFont="1" applyBorder="1" applyAlignment="1">
      <alignment horizontal="center" wrapText="1"/>
    </xf>
    <xf numFmtId="165" fontId="18" fillId="0" borderId="0" xfId="0" applyNumberFormat="1" applyFont="1" applyAlignment="1">
      <alignment horizontal="center" wrapText="1"/>
    </xf>
    <xf numFmtId="0" fontId="18" fillId="0" borderId="0" xfId="0" applyFont="1" applyAlignment="1">
      <alignment wrapText="1"/>
    </xf>
    <xf numFmtId="0" fontId="11" fillId="0" borderId="0" xfId="0" applyFont="1" applyAlignment="1">
      <alignment horizontal="left" wrapText="1"/>
    </xf>
    <xf numFmtId="0" fontId="11" fillId="0" borderId="8" xfId="0" applyFont="1" applyBorder="1" applyAlignment="1">
      <alignment horizontal="center" vertical="center"/>
    </xf>
    <xf numFmtId="0" fontId="11" fillId="0" borderId="0" xfId="0" applyFont="1" applyAlignment="1">
      <alignment wrapText="1"/>
    </xf>
    <xf numFmtId="0" fontId="18" fillId="0" borderId="1" xfId="0" applyFont="1" applyBorder="1" applyAlignment="1">
      <alignment horizontal="right" vertical="center"/>
    </xf>
    <xf numFmtId="0" fontId="18" fillId="0" borderId="15" xfId="0" applyFont="1" applyBorder="1" applyAlignment="1">
      <alignment horizontal="right" vertical="center" wrapText="1"/>
    </xf>
    <xf numFmtId="0" fontId="18" fillId="0" borderId="8" xfId="0" applyFont="1" applyBorder="1" applyAlignment="1">
      <alignment vertical="center" wrapText="1"/>
    </xf>
    <xf numFmtId="0" fontId="27" fillId="0" borderId="8" xfId="0" applyFont="1" applyBorder="1" applyAlignment="1">
      <alignment wrapText="1"/>
    </xf>
    <xf numFmtId="168" fontId="11" fillId="0" borderId="8" xfId="1" applyNumberFormat="1" applyFont="1" applyFill="1" applyBorder="1"/>
    <xf numFmtId="168" fontId="11" fillId="0" borderId="8" xfId="0" applyNumberFormat="1" applyFont="1" applyBorder="1"/>
    <xf numFmtId="0" fontId="11" fillId="0" borderId="0" xfId="0" applyFont="1" applyAlignment="1">
      <alignment horizontal="center" vertical="center" wrapText="1"/>
    </xf>
    <xf numFmtId="0" fontId="11" fillId="0" borderId="15" xfId="0" applyFont="1" applyBorder="1" applyAlignment="1">
      <alignment horizontal="center" vertical="center" wrapText="1"/>
    </xf>
    <xf numFmtId="0" fontId="18" fillId="0" borderId="15" xfId="0" applyFont="1" applyBorder="1" applyAlignment="1">
      <alignment horizontal="right" wrapText="1"/>
    </xf>
    <xf numFmtId="0" fontId="18" fillId="0" borderId="7" xfId="0" applyFont="1" applyBorder="1" applyAlignment="1">
      <alignment horizontal="right" vertical="center"/>
    </xf>
    <xf numFmtId="0" fontId="18" fillId="0" borderId="0" xfId="0" applyFont="1" applyAlignment="1">
      <alignment horizontal="center" vertical="center" wrapText="1"/>
    </xf>
    <xf numFmtId="0" fontId="18" fillId="0" borderId="15" xfId="0" applyFont="1" applyBorder="1" applyAlignment="1">
      <alignment horizontal="center" vertical="center" wrapText="1"/>
    </xf>
    <xf numFmtId="0" fontId="11" fillId="0" borderId="0" xfId="0" applyFont="1" applyAlignment="1">
      <alignment horizontal="left" vertical="center" wrapText="1"/>
    </xf>
    <xf numFmtId="0" fontId="11" fillId="0" borderId="15" xfId="0" applyFont="1" applyBorder="1" applyAlignment="1">
      <alignment horizontal="left" vertical="center" wrapText="1"/>
    </xf>
    <xf numFmtId="43" fontId="11" fillId="0" borderId="8" xfId="1" applyFont="1" applyBorder="1" applyAlignment="1">
      <alignment horizontal="center" vertical="center"/>
    </xf>
    <xf numFmtId="43" fontId="11" fillId="0" borderId="8" xfId="1" applyFont="1" applyFill="1" applyBorder="1" applyAlignment="1">
      <alignment horizontal="center" vertical="center" wrapText="1"/>
    </xf>
    <xf numFmtId="164" fontId="18" fillId="0" borderId="8" xfId="0" applyNumberFormat="1" applyFont="1" applyBorder="1" applyAlignment="1">
      <alignment wrapText="1"/>
    </xf>
    <xf numFmtId="0" fontId="19" fillId="0" borderId="0" xfId="0" applyFont="1" applyAlignment="1">
      <alignment horizontal="left" vertical="center" wrapText="1"/>
    </xf>
    <xf numFmtId="0" fontId="12" fillId="0" borderId="0" xfId="0" applyFont="1" applyAlignment="1">
      <alignment vertical="center"/>
    </xf>
    <xf numFmtId="164" fontId="18" fillId="5" borderId="8" xfId="0" applyNumberFormat="1" applyFont="1" applyFill="1" applyBorder="1" applyAlignment="1">
      <alignment horizontal="center" vertical="center" wrapText="1"/>
    </xf>
    <xf numFmtId="2" fontId="11" fillId="9" borderId="8" xfId="0" applyNumberFormat="1" applyFont="1" applyFill="1" applyBorder="1"/>
    <xf numFmtId="2" fontId="11" fillId="0" borderId="8" xfId="0" applyNumberFormat="1" applyFont="1" applyBorder="1"/>
    <xf numFmtId="43" fontId="11" fillId="9" borderId="8" xfId="1" applyFont="1" applyFill="1" applyBorder="1" applyAlignment="1">
      <alignment horizontal="center" vertical="center"/>
    </xf>
    <xf numFmtId="2" fontId="12" fillId="9" borderId="8" xfId="0" applyNumberFormat="1" applyFont="1" applyFill="1" applyBorder="1"/>
    <xf numFmtId="2" fontId="12" fillId="0" borderId="8" xfId="0" applyNumberFormat="1" applyFont="1" applyBorder="1"/>
    <xf numFmtId="169" fontId="11" fillId="0" borderId="8" xfId="0" applyNumberFormat="1" applyFont="1" applyBorder="1" applyAlignment="1">
      <alignment horizontal="center" vertical="center" wrapText="1"/>
    </xf>
    <xf numFmtId="43" fontId="11" fillId="0" borderId="0" xfId="1" applyFont="1" applyFill="1" applyBorder="1" applyAlignment="1">
      <alignment horizontal="right" wrapText="1"/>
    </xf>
    <xf numFmtId="43" fontId="11" fillId="0" borderId="0" xfId="1" applyFont="1" applyFill="1" applyBorder="1"/>
    <xf numFmtId="43" fontId="11" fillId="9" borderId="8" xfId="1" applyFont="1" applyFill="1" applyBorder="1"/>
    <xf numFmtId="0" fontId="11" fillId="0" borderId="8" xfId="0" quotePrefix="1" applyFont="1" applyBorder="1"/>
    <xf numFmtId="0" fontId="11" fillId="0" borderId="9" xfId="0" applyFont="1" applyBorder="1"/>
    <xf numFmtId="0" fontId="11" fillId="0" borderId="4" xfId="0" applyFont="1" applyBorder="1"/>
    <xf numFmtId="0" fontId="28" fillId="9" borderId="8" xfId="0" applyFont="1" applyFill="1" applyBorder="1"/>
    <xf numFmtId="0" fontId="11" fillId="0" borderId="8" xfId="0" applyFont="1" applyBorder="1" applyAlignment="1">
      <alignment horizontal="left"/>
    </xf>
    <xf numFmtId="16" fontId="11" fillId="0" borderId="0" xfId="0" applyNumberFormat="1" applyFont="1"/>
    <xf numFmtId="165" fontId="18" fillId="0" borderId="7" xfId="0" applyNumberFormat="1" applyFont="1" applyBorder="1" applyAlignment="1">
      <alignment horizontal="center" vertical="center" wrapText="1"/>
    </xf>
    <xf numFmtId="43" fontId="11" fillId="9" borderId="8" xfId="0" applyNumberFormat="1" applyFont="1" applyFill="1" applyBorder="1"/>
    <xf numFmtId="0" fontId="11" fillId="0" borderId="0" xfId="11" applyFont="1" applyAlignment="1">
      <alignment vertical="center"/>
    </xf>
    <xf numFmtId="0" fontId="11" fillId="0" borderId="0" xfId="11" applyFont="1" applyAlignment="1">
      <alignment horizontal="left" vertical="center" wrapText="1"/>
    </xf>
    <xf numFmtId="0" fontId="11" fillId="0" borderId="15" xfId="11" applyFont="1" applyBorder="1" applyAlignment="1">
      <alignment horizontal="left" vertical="center" wrapText="1"/>
    </xf>
    <xf numFmtId="0" fontId="18" fillId="0" borderId="1" xfId="11" applyFont="1" applyBorder="1" applyAlignment="1">
      <alignment horizontal="right" vertical="center"/>
    </xf>
    <xf numFmtId="0" fontId="18" fillId="0" borderId="24" xfId="11" applyFont="1" applyBorder="1" applyAlignment="1">
      <alignment horizontal="right" vertical="center"/>
    </xf>
    <xf numFmtId="164" fontId="18" fillId="5" borderId="8" xfId="11" applyNumberFormat="1" applyFont="1" applyFill="1" applyBorder="1" applyAlignment="1">
      <alignment horizontal="center" vertical="center" wrapText="1"/>
    </xf>
    <xf numFmtId="0" fontId="18" fillId="0" borderId="8" xfId="11" applyFont="1" applyBorder="1" applyAlignment="1">
      <alignment vertical="center"/>
    </xf>
    <xf numFmtId="0" fontId="11" fillId="0" borderId="0" xfId="11" applyFont="1" applyAlignment="1">
      <alignment horizontal="center" vertical="center" wrapText="1"/>
    </xf>
    <xf numFmtId="0" fontId="11" fillId="0" borderId="15" xfId="11" applyFont="1" applyBorder="1" applyAlignment="1">
      <alignment horizontal="center" vertical="center" wrapText="1"/>
    </xf>
    <xf numFmtId="0" fontId="18" fillId="0" borderId="8" xfId="11" applyFont="1" applyBorder="1" applyAlignment="1">
      <alignment horizontal="center" vertical="center" wrapText="1"/>
    </xf>
    <xf numFmtId="0" fontId="18" fillId="0" borderId="8" xfId="11" applyFont="1" applyBorder="1" applyAlignment="1">
      <alignment horizontal="center" vertical="center"/>
    </xf>
    <xf numFmtId="0" fontId="18" fillId="0" borderId="11" xfId="11" applyFont="1" applyBorder="1" applyAlignment="1">
      <alignment horizontal="center" vertical="center" wrapText="1"/>
    </xf>
    <xf numFmtId="0" fontId="11" fillId="0" borderId="8" xfId="11" applyFont="1" applyBorder="1" applyAlignment="1">
      <alignment vertical="center"/>
    </xf>
    <xf numFmtId="0" fontId="12" fillId="0" borderId="0" xfId="11" applyFont="1" applyAlignment="1">
      <alignment horizontal="right" vertical="center" wrapText="1"/>
    </xf>
    <xf numFmtId="0" fontId="11" fillId="0" borderId="8" xfId="11" applyFont="1" applyBorder="1" applyAlignment="1">
      <alignment vertical="center" wrapText="1"/>
    </xf>
    <xf numFmtId="0" fontId="20" fillId="0" borderId="16" xfId="11" applyFont="1" applyBorder="1" applyAlignment="1">
      <alignment horizontal="center" vertical="center" wrapText="1"/>
    </xf>
    <xf numFmtId="0" fontId="11" fillId="0" borderId="8" xfId="11" applyFont="1" applyBorder="1" applyAlignment="1">
      <alignment horizontal="center" vertical="center" wrapText="1"/>
    </xf>
    <xf numFmtId="164" fontId="11" fillId="0" borderId="8" xfId="11" applyNumberFormat="1" applyFont="1" applyBorder="1" applyAlignment="1">
      <alignment horizontal="center" vertical="center" wrapText="1"/>
    </xf>
    <xf numFmtId="0" fontId="11" fillId="0" borderId="0" xfId="11" applyFont="1" applyAlignment="1">
      <alignment horizontal="right" vertical="center" wrapText="1"/>
    </xf>
    <xf numFmtId="164" fontId="18" fillId="0" borderId="8" xfId="11" applyNumberFormat="1" applyFont="1" applyBorder="1" applyAlignment="1">
      <alignment horizontal="center" vertical="center" wrapText="1"/>
    </xf>
    <xf numFmtId="0" fontId="11" fillId="0" borderId="15" xfId="11" applyFont="1" applyBorder="1" applyAlignment="1">
      <alignment vertical="center"/>
    </xf>
    <xf numFmtId="1" fontId="11" fillId="0" borderId="8" xfId="11" applyNumberFormat="1" applyFont="1" applyBorder="1" applyAlignment="1">
      <alignment horizontal="center" vertical="center" wrapText="1"/>
    </xf>
    <xf numFmtId="0" fontId="11" fillId="0" borderId="0" xfId="11" applyFont="1" applyAlignment="1">
      <alignment horizontal="right" vertical="center"/>
    </xf>
    <xf numFmtId="0" fontId="11" fillId="0" borderId="15" xfId="11" applyFont="1" applyBorder="1" applyAlignment="1">
      <alignment horizontal="right" vertical="center"/>
    </xf>
    <xf numFmtId="43" fontId="11" fillId="0" borderId="8" xfId="14" applyFont="1" applyBorder="1" applyAlignment="1">
      <alignment vertical="center"/>
    </xf>
    <xf numFmtId="43" fontId="11" fillId="0" borderId="0" xfId="14" applyFont="1" applyBorder="1" applyAlignment="1">
      <alignment vertical="center"/>
    </xf>
    <xf numFmtId="44" fontId="11" fillId="0" borderId="0" xfId="11" applyNumberFormat="1" applyFont="1" applyAlignment="1">
      <alignment vertical="center"/>
    </xf>
    <xf numFmtId="3" fontId="11" fillId="0" borderId="8" xfId="11" applyNumberFormat="1" applyFont="1" applyBorder="1" applyAlignment="1">
      <alignment vertical="center"/>
    </xf>
    <xf numFmtId="4" fontId="18" fillId="0" borderId="8" xfId="11" applyNumberFormat="1" applyFont="1" applyBorder="1" applyAlignment="1">
      <alignment horizontal="center" vertical="center" wrapText="1"/>
    </xf>
    <xf numFmtId="164" fontId="18" fillId="0" borderId="27" xfId="0" applyNumberFormat="1" applyFont="1" applyBorder="1" applyAlignment="1">
      <alignment horizontal="center" vertical="center" wrapText="1"/>
    </xf>
    <xf numFmtId="43" fontId="11" fillId="0" borderId="8" xfId="0" applyNumberFormat="1" applyFont="1" applyBorder="1" applyAlignment="1">
      <alignment horizontal="center"/>
    </xf>
    <xf numFmtId="43" fontId="18" fillId="0" borderId="8" xfId="0" applyNumberFormat="1" applyFont="1" applyBorder="1" applyAlignment="1">
      <alignment horizontal="center"/>
    </xf>
    <xf numFmtId="2" fontId="11" fillId="0" borderId="0" xfId="0" applyNumberFormat="1" applyFont="1"/>
    <xf numFmtId="2" fontId="18" fillId="0" borderId="8" xfId="0" applyNumberFormat="1" applyFont="1" applyBorder="1" applyAlignment="1">
      <alignment horizontal="center" vertical="center"/>
    </xf>
    <xf numFmtId="2" fontId="11" fillId="0" borderId="8" xfId="0" applyNumberFormat="1" applyFont="1" applyBorder="1" applyAlignment="1">
      <alignment horizontal="center" vertical="center"/>
    </xf>
    <xf numFmtId="9" fontId="11" fillId="0" borderId="8" xfId="15" applyFont="1" applyBorder="1" applyAlignment="1">
      <alignment horizontal="center" vertical="center"/>
    </xf>
    <xf numFmtId="2" fontId="11" fillId="0" borderId="0" xfId="0" applyNumberFormat="1" applyFont="1" applyAlignment="1">
      <alignment horizontal="center" vertical="center"/>
    </xf>
    <xf numFmtId="43" fontId="18" fillId="0" borderId="0" xfId="1" applyFont="1" applyFill="1" applyBorder="1" applyAlignment="1">
      <alignment horizontal="center" vertical="center"/>
    </xf>
    <xf numFmtId="43" fontId="18" fillId="0" borderId="0" xfId="1" applyFont="1"/>
    <xf numFmtId="43" fontId="14" fillId="0" borderId="0" xfId="1" applyFont="1" applyAlignment="1">
      <alignment vertical="center"/>
    </xf>
    <xf numFmtId="0" fontId="14" fillId="0" borderId="0" xfId="1" applyNumberFormat="1" applyFont="1" applyAlignment="1">
      <alignment horizontal="left" vertical="center"/>
    </xf>
    <xf numFmtId="43" fontId="14" fillId="0" borderId="0" xfId="1" applyFont="1" applyAlignment="1">
      <alignment horizontal="center" vertical="center"/>
    </xf>
    <xf numFmtId="43" fontId="1" fillId="0" borderId="0" xfId="1" applyFont="1" applyAlignment="1">
      <alignment vertical="center"/>
    </xf>
    <xf numFmtId="49" fontId="2" fillId="0" borderId="0" xfId="1" applyNumberFormat="1" applyFont="1" applyAlignment="1">
      <alignment horizontal="left" vertical="center"/>
    </xf>
    <xf numFmtId="0" fontId="1" fillId="0" borderId="0" xfId="1" applyNumberFormat="1" applyFont="1" applyAlignment="1">
      <alignment horizontal="left" vertical="center"/>
    </xf>
    <xf numFmtId="43" fontId="1" fillId="0" borderId="0" xfId="1" applyFont="1" applyAlignment="1">
      <alignment horizontal="center" vertical="center"/>
    </xf>
    <xf numFmtId="43" fontId="2" fillId="0" borderId="0" xfId="1" applyFont="1" applyAlignment="1">
      <alignment horizontal="center" vertical="center"/>
    </xf>
    <xf numFmtId="43" fontId="1" fillId="0" borderId="0" xfId="1" applyFont="1" applyAlignment="1">
      <alignment horizontal="left" vertical="center"/>
    </xf>
    <xf numFmtId="14" fontId="1" fillId="0" borderId="0" xfId="1" applyNumberFormat="1" applyFont="1" applyAlignment="1">
      <alignment horizontal="center" vertical="center"/>
    </xf>
    <xf numFmtId="10" fontId="1" fillId="0" borderId="0" xfId="1" applyNumberFormat="1" applyFont="1" applyBorder="1" applyAlignment="1">
      <alignment vertical="center"/>
    </xf>
    <xf numFmtId="43" fontId="34" fillId="12" borderId="34" xfId="1" applyFont="1" applyFill="1" applyBorder="1" applyAlignment="1" applyProtection="1">
      <alignment horizontal="center" vertical="center" wrapText="1"/>
      <protection locked="0"/>
    </xf>
    <xf numFmtId="0" fontId="34" fillId="12" borderId="34" xfId="1" applyNumberFormat="1" applyFont="1" applyFill="1" applyBorder="1" applyAlignment="1" applyProtection="1">
      <alignment horizontal="center" vertical="center" wrapText="1"/>
      <protection locked="0"/>
    </xf>
    <xf numFmtId="43" fontId="14" fillId="0" borderId="8" xfId="1" applyFont="1" applyBorder="1" applyAlignment="1">
      <alignment vertical="center"/>
    </xf>
    <xf numFmtId="0" fontId="14" fillId="0" borderId="8" xfId="1" applyNumberFormat="1" applyFont="1" applyBorder="1" applyAlignment="1">
      <alignment horizontal="left" vertical="center" wrapText="1"/>
    </xf>
    <xf numFmtId="43" fontId="14" fillId="0" borderId="35" xfId="1" applyFont="1" applyFill="1" applyBorder="1" applyAlignment="1">
      <alignment vertical="center"/>
    </xf>
    <xf numFmtId="43" fontId="14" fillId="0" borderId="8" xfId="1" applyFont="1" applyFill="1" applyBorder="1" applyAlignment="1">
      <alignment vertical="center"/>
    </xf>
    <xf numFmtId="0" fontId="14" fillId="0" borderId="8" xfId="1" applyNumberFormat="1" applyFont="1" applyFill="1" applyBorder="1" applyAlignment="1">
      <alignment horizontal="left" vertical="center" wrapText="1"/>
    </xf>
    <xf numFmtId="43" fontId="14" fillId="0" borderId="8" xfId="1" applyFont="1" applyFill="1" applyBorder="1" applyAlignment="1">
      <alignment horizontal="center" vertical="center"/>
    </xf>
    <xf numFmtId="43" fontId="1" fillId="0" borderId="0" xfId="1" applyFont="1" applyFill="1" applyAlignment="1">
      <alignment vertical="center"/>
    </xf>
    <xf numFmtId="0" fontId="11" fillId="0" borderId="8" xfId="0" applyFont="1" applyBorder="1" applyAlignment="1">
      <alignment horizontal="left" vertical="center" wrapText="1"/>
    </xf>
    <xf numFmtId="0" fontId="11" fillId="0" borderId="0" xfId="0" applyFont="1" applyAlignment="1">
      <alignment horizontal="left" vertical="center"/>
    </xf>
    <xf numFmtId="0" fontId="12" fillId="0" borderId="0" xfId="0" applyFont="1" applyAlignment="1">
      <alignment horizontal="left" vertical="center" wrapText="1"/>
    </xf>
    <xf numFmtId="0" fontId="12" fillId="0" borderId="15" xfId="0" applyFont="1" applyBorder="1" applyAlignment="1">
      <alignment horizontal="left" vertical="center" wrapText="1"/>
    </xf>
    <xf numFmtId="0" fontId="35" fillId="0" borderId="0" xfId="13" applyFont="1" applyAlignment="1">
      <alignment vertical="center"/>
    </xf>
    <xf numFmtId="0" fontId="36" fillId="0" borderId="0" xfId="13" applyFont="1" applyAlignment="1">
      <alignment vertical="center"/>
    </xf>
    <xf numFmtId="0" fontId="8" fillId="13" borderId="0" xfId="13" applyFont="1" applyFill="1" applyAlignment="1">
      <alignment vertical="center"/>
    </xf>
    <xf numFmtId="168" fontId="2" fillId="11" borderId="32" xfId="19" applyNumberFormat="1" applyFill="1" applyAlignment="1" applyProtection="1">
      <alignment vertical="center"/>
    </xf>
    <xf numFmtId="170" fontId="2" fillId="11" borderId="32" xfId="19" applyNumberFormat="1" applyFill="1" applyAlignment="1" applyProtection="1">
      <alignment vertical="center"/>
    </xf>
    <xf numFmtId="3" fontId="38" fillId="14" borderId="6" xfId="13" applyNumberFormat="1" applyFont="1" applyFill="1" applyBorder="1" applyAlignment="1">
      <alignment horizontal="center" vertical="center"/>
    </xf>
    <xf numFmtId="171" fontId="38" fillId="14" borderId="36" xfId="13" applyNumberFormat="1" applyFont="1" applyFill="1" applyBorder="1" applyAlignment="1">
      <alignment horizontal="center" vertical="center"/>
    </xf>
    <xf numFmtId="171" fontId="38" fillId="14" borderId="37" xfId="13" applyNumberFormat="1" applyFont="1" applyFill="1" applyBorder="1" applyAlignment="1">
      <alignment horizontal="center" vertical="center"/>
    </xf>
    <xf numFmtId="0" fontId="2" fillId="11" borderId="32" xfId="19" applyFill="1" applyAlignment="1" applyProtection="1">
      <alignment vertical="center"/>
    </xf>
    <xf numFmtId="170" fontId="36" fillId="0" borderId="0" xfId="13" applyNumberFormat="1" applyFont="1" applyAlignment="1">
      <alignment vertical="center"/>
    </xf>
    <xf numFmtId="0" fontId="36" fillId="15" borderId="38" xfId="23" applyFont="1" applyFill="1" applyBorder="1" applyAlignment="1">
      <alignment horizontal="left" vertical="center" indent="1"/>
    </xf>
    <xf numFmtId="0" fontId="36" fillId="15" borderId="38" xfId="13" applyFont="1" applyFill="1" applyBorder="1" applyAlignment="1">
      <alignment vertical="center"/>
    </xf>
    <xf numFmtId="44" fontId="36" fillId="15" borderId="38" xfId="22" applyFont="1" applyFill="1" applyBorder="1" applyAlignment="1" applyProtection="1">
      <alignment vertical="center"/>
    </xf>
    <xf numFmtId="168" fontId="36" fillId="15" borderId="38" xfId="1" applyNumberFormat="1" applyFont="1" applyFill="1" applyBorder="1" applyAlignment="1" applyProtection="1">
      <alignment vertical="center"/>
    </xf>
    <xf numFmtId="170" fontId="26" fillId="11" borderId="31" xfId="18" applyNumberFormat="1" applyAlignment="1" applyProtection="1">
      <alignment vertical="center"/>
    </xf>
    <xf numFmtId="44" fontId="7" fillId="2" borderId="39" xfId="22" applyFont="1" applyFill="1" applyBorder="1" applyAlignment="1" applyProtection="1">
      <alignment horizontal="left" vertical="center" indent="1"/>
    </xf>
    <xf numFmtId="168" fontId="7" fillId="2" borderId="39" xfId="1" applyNumberFormat="1" applyFont="1" applyFill="1" applyBorder="1" applyAlignment="1" applyProtection="1">
      <alignment horizontal="left" vertical="center" indent="1"/>
    </xf>
    <xf numFmtId="170" fontId="25" fillId="10" borderId="30" xfId="17" applyNumberFormat="1" applyAlignment="1" applyProtection="1">
      <alignment vertical="center"/>
      <protection locked="0"/>
    </xf>
    <xf numFmtId="170" fontId="36" fillId="0" borderId="0" xfId="24" applyNumberFormat="1" applyFont="1" applyFill="1" applyAlignment="1" applyProtection="1">
      <alignment vertical="center"/>
    </xf>
    <xf numFmtId="173" fontId="35" fillId="0" borderId="0" xfId="13" applyNumberFormat="1" applyFont="1" applyAlignment="1">
      <alignment vertical="center"/>
    </xf>
    <xf numFmtId="174" fontId="35" fillId="0" borderId="0" xfId="13" applyNumberFormat="1" applyFont="1" applyAlignment="1">
      <alignment vertical="center"/>
    </xf>
    <xf numFmtId="0" fontId="35" fillId="0" borderId="0" xfId="23" applyFont="1" applyAlignment="1">
      <alignment vertical="center"/>
    </xf>
    <xf numFmtId="0" fontId="36" fillId="0" borderId="0" xfId="23" applyFont="1" applyAlignment="1">
      <alignment vertical="center"/>
    </xf>
    <xf numFmtId="0" fontId="7" fillId="0" borderId="0" xfId="23" applyAlignment="1">
      <alignment vertical="center"/>
    </xf>
    <xf numFmtId="0" fontId="7" fillId="0" borderId="0" xfId="23" applyAlignment="1">
      <alignment horizontal="centerContinuous" vertical="center"/>
    </xf>
    <xf numFmtId="0" fontId="8" fillId="13" borderId="0" xfId="23" applyFont="1" applyFill="1" applyAlignment="1">
      <alignment vertical="center"/>
    </xf>
    <xf numFmtId="168" fontId="25" fillId="10" borderId="30" xfId="1" applyNumberFormat="1" applyFont="1" applyFill="1" applyBorder="1" applyAlignment="1" applyProtection="1">
      <alignment horizontal="center" vertical="center"/>
    </xf>
    <xf numFmtId="0" fontId="7" fillId="13" borderId="0" xfId="23" applyFill="1" applyAlignment="1">
      <alignment vertical="center"/>
    </xf>
    <xf numFmtId="8" fontId="2" fillId="11" borderId="32" xfId="19" applyNumberFormat="1" applyFill="1" applyAlignment="1" applyProtection="1">
      <alignment vertical="center"/>
    </xf>
    <xf numFmtId="0" fontId="8" fillId="13" borderId="0" xfId="23" applyFont="1" applyFill="1"/>
    <xf numFmtId="0" fontId="39" fillId="13" borderId="0" xfId="23" applyFont="1" applyFill="1"/>
    <xf numFmtId="0" fontId="8" fillId="13" borderId="0" xfId="23" applyFont="1" applyFill="1" applyAlignment="1">
      <alignment horizontal="left"/>
    </xf>
    <xf numFmtId="0" fontId="37" fillId="13" borderId="0" xfId="23" applyFont="1" applyFill="1"/>
    <xf numFmtId="0" fontId="37" fillId="0" borderId="0" xfId="23" applyFont="1" applyAlignment="1">
      <alignment vertical="center"/>
    </xf>
    <xf numFmtId="171" fontId="38" fillId="14" borderId="36" xfId="23" applyNumberFormat="1" applyFont="1" applyFill="1" applyBorder="1" applyAlignment="1">
      <alignment horizontal="center" vertical="center"/>
    </xf>
    <xf numFmtId="171" fontId="38" fillId="14" borderId="37" xfId="23" applyNumberFormat="1" applyFont="1" applyFill="1" applyBorder="1" applyAlignment="1">
      <alignment horizontal="center" vertical="center"/>
    </xf>
    <xf numFmtId="0" fontId="36" fillId="15" borderId="38" xfId="23" applyFont="1" applyFill="1" applyBorder="1" applyAlignment="1">
      <alignment horizontal="left" vertical="center"/>
    </xf>
    <xf numFmtId="44" fontId="36" fillId="15" borderId="38" xfId="22" applyFont="1" applyFill="1" applyBorder="1" applyAlignment="1" applyProtection="1">
      <alignment horizontal="left" vertical="center"/>
    </xf>
    <xf numFmtId="168" fontId="36" fillId="15" borderId="38" xfId="1" applyNumberFormat="1" applyFont="1" applyFill="1" applyBorder="1" applyAlignment="1" applyProtection="1">
      <alignment horizontal="left" vertical="center"/>
    </xf>
    <xf numFmtId="44" fontId="7" fillId="2" borderId="40" xfId="22" applyFont="1" applyFill="1" applyBorder="1" applyAlignment="1" applyProtection="1">
      <alignment horizontal="left" vertical="center"/>
    </xf>
    <xf numFmtId="0" fontId="7" fillId="2" borderId="42" xfId="23" applyFill="1" applyBorder="1" applyAlignment="1">
      <alignment horizontal="left" vertical="center"/>
    </xf>
    <xf numFmtId="0" fontId="7" fillId="2" borderId="41" xfId="23" applyFill="1" applyBorder="1" applyAlignment="1">
      <alignment horizontal="left" vertical="center" indent="1"/>
    </xf>
    <xf numFmtId="168" fontId="7" fillId="2" borderId="40" xfId="27" applyNumberFormat="1" applyFont="1" applyFill="1" applyBorder="1" applyAlignment="1" applyProtection="1">
      <alignment horizontal="left" vertical="center"/>
    </xf>
    <xf numFmtId="175" fontId="0" fillId="0" borderId="0" xfId="0" applyNumberFormat="1"/>
    <xf numFmtId="168" fontId="36" fillId="0" borderId="0" xfId="1" applyNumberFormat="1" applyFont="1" applyFill="1" applyBorder="1" applyAlignment="1" applyProtection="1">
      <alignment horizontal="left" vertical="center"/>
    </xf>
    <xf numFmtId="43" fontId="35" fillId="0" borderId="0" xfId="23" applyNumberFormat="1" applyFont="1" applyAlignment="1">
      <alignment vertical="center"/>
    </xf>
    <xf numFmtId="0" fontId="7" fillId="0" borderId="0" xfId="13" applyAlignment="1">
      <alignment vertical="center"/>
    </xf>
    <xf numFmtId="0" fontId="7" fillId="0" borderId="0" xfId="13" applyAlignment="1">
      <alignment horizontal="centerContinuous" vertical="center"/>
    </xf>
    <xf numFmtId="168" fontId="15" fillId="11" borderId="32" xfId="19" applyNumberFormat="1" applyFont="1" applyFill="1" applyAlignment="1" applyProtection="1">
      <alignment vertical="center"/>
    </xf>
    <xf numFmtId="170" fontId="15" fillId="11" borderId="32" xfId="19" applyNumberFormat="1" applyFont="1" applyFill="1" applyAlignment="1" applyProtection="1">
      <alignment vertical="center"/>
    </xf>
    <xf numFmtId="0" fontId="7" fillId="0" borderId="0" xfId="13" applyAlignment="1">
      <alignment horizontal="right" vertical="center"/>
    </xf>
    <xf numFmtId="0" fontId="7" fillId="13" borderId="0" xfId="13" applyFill="1"/>
    <xf numFmtId="0" fontId="15" fillId="11" borderId="32" xfId="19" applyFont="1" applyFill="1" applyAlignment="1" applyProtection="1">
      <alignment vertical="center"/>
    </xf>
    <xf numFmtId="170" fontId="40" fillId="11" borderId="31" xfId="18" applyNumberFormat="1" applyFont="1" applyAlignment="1" applyProtection="1">
      <alignment vertical="center"/>
    </xf>
    <xf numFmtId="0" fontId="7" fillId="2" borderId="39" xfId="13" applyFill="1" applyBorder="1" applyAlignment="1">
      <alignment horizontal="left" vertical="center" indent="1"/>
    </xf>
    <xf numFmtId="170" fontId="41" fillId="10" borderId="30" xfId="17" applyNumberFormat="1" applyFont="1" applyAlignment="1" applyProtection="1">
      <alignment vertical="center"/>
      <protection locked="0"/>
    </xf>
    <xf numFmtId="8" fontId="15" fillId="11" borderId="32" xfId="22" applyNumberFormat="1" applyFont="1" applyFill="1" applyBorder="1" applyAlignment="1" applyProtection="1">
      <alignment vertical="center"/>
    </xf>
    <xf numFmtId="0" fontId="21" fillId="0" borderId="0" xfId="0" applyFont="1"/>
    <xf numFmtId="0" fontId="12" fillId="0" borderId="8" xfId="0" applyFont="1" applyBorder="1" applyAlignment="1">
      <alignment horizontal="center" vertical="center" wrapText="1" readingOrder="1"/>
    </xf>
    <xf numFmtId="0" fontId="23" fillId="0" borderId="8" xfId="0" applyFont="1" applyBorder="1" applyAlignment="1">
      <alignment horizontal="center" vertical="center" wrapText="1" readingOrder="1"/>
    </xf>
    <xf numFmtId="176" fontId="12" fillId="0" borderId="8" xfId="0" applyNumberFormat="1" applyFont="1" applyBorder="1" applyAlignment="1">
      <alignment horizontal="center" vertical="center" wrapText="1" readingOrder="1"/>
    </xf>
    <xf numFmtId="176" fontId="11" fillId="0" borderId="8" xfId="0" applyNumberFormat="1" applyFont="1" applyBorder="1" applyAlignment="1">
      <alignment horizontal="center" vertical="center"/>
    </xf>
    <xf numFmtId="0" fontId="21" fillId="0" borderId="0" xfId="0" applyFont="1" applyAlignment="1">
      <alignment horizontal="center" vertical="center"/>
    </xf>
    <xf numFmtId="0" fontId="19" fillId="6" borderId="22" xfId="0" applyFont="1" applyFill="1" applyBorder="1" applyAlignment="1">
      <alignment horizontal="center" vertical="center" wrapText="1"/>
    </xf>
    <xf numFmtId="0" fontId="19" fillId="6" borderId="23" xfId="0" applyFont="1" applyFill="1" applyBorder="1" applyAlignment="1">
      <alignment horizontal="center" vertical="center" wrapText="1"/>
    </xf>
    <xf numFmtId="0" fontId="12" fillId="0" borderId="19" xfId="0" applyFont="1" applyBorder="1" applyAlignment="1">
      <alignment horizontal="justify" vertical="center" wrapText="1"/>
    </xf>
    <xf numFmtId="4" fontId="19" fillId="0" borderId="16" xfId="0" applyNumberFormat="1" applyFont="1" applyBorder="1" applyAlignment="1">
      <alignment horizontal="center" vertical="center" wrapText="1"/>
    </xf>
    <xf numFmtId="4" fontId="12" fillId="0" borderId="0" xfId="0" applyNumberFormat="1" applyFont="1" applyAlignment="1">
      <alignment horizontal="center" vertical="center" wrapText="1"/>
    </xf>
    <xf numFmtId="0" fontId="12" fillId="0" borderId="21" xfId="0" applyFont="1" applyBorder="1" applyAlignment="1">
      <alignment horizontal="justify" vertical="center" wrapText="1"/>
    </xf>
    <xf numFmtId="4" fontId="11" fillId="0" borderId="0" xfId="0" applyNumberFormat="1" applyFont="1" applyAlignment="1">
      <alignment vertical="center"/>
    </xf>
    <xf numFmtId="4" fontId="12" fillId="0" borderId="8" xfId="0" applyNumberFormat="1" applyFont="1" applyBorder="1" applyAlignment="1">
      <alignment horizontal="center" vertical="center" wrapText="1"/>
    </xf>
    <xf numFmtId="0" fontId="20" fillId="0" borderId="16" xfId="0" applyFont="1" applyBorder="1" applyAlignment="1">
      <alignment vertical="center"/>
    </xf>
    <xf numFmtId="0" fontId="20" fillId="0" borderId="8" xfId="0" applyFont="1" applyBorder="1" applyAlignment="1">
      <alignment wrapText="1"/>
    </xf>
    <xf numFmtId="43" fontId="12" fillId="0" borderId="8" xfId="1" applyFont="1" applyBorder="1" applyAlignment="1">
      <alignment horizontal="center" vertical="center" wrapText="1" readingOrder="1"/>
    </xf>
    <xf numFmtId="43" fontId="12" fillId="0" borderId="8" xfId="0" applyNumberFormat="1" applyFont="1" applyBorder="1" applyAlignment="1">
      <alignment horizontal="center" vertical="center" wrapText="1" readingOrder="1"/>
    </xf>
    <xf numFmtId="43" fontId="12" fillId="0" borderId="8" xfId="1" applyFont="1" applyFill="1" applyBorder="1" applyAlignment="1">
      <alignment horizontal="center" vertical="center" wrapText="1" readingOrder="1"/>
    </xf>
    <xf numFmtId="0" fontId="22" fillId="0" borderId="8" xfId="0" applyFont="1" applyBorder="1" applyAlignment="1">
      <alignment horizontal="center"/>
    </xf>
    <xf numFmtId="0" fontId="18" fillId="0" borderId="8" xfId="11" applyFont="1" applyBorder="1" applyAlignment="1">
      <alignment vertical="center" wrapText="1"/>
    </xf>
    <xf numFmtId="9" fontId="11" fillId="0" borderId="8" xfId="15" applyFont="1" applyFill="1" applyBorder="1" applyAlignment="1">
      <alignment horizontal="center" vertical="center"/>
    </xf>
    <xf numFmtId="43" fontId="11" fillId="0" borderId="8" xfId="1" applyFont="1" applyFill="1" applyBorder="1" applyAlignment="1">
      <alignment horizontal="center" vertical="center"/>
    </xf>
    <xf numFmtId="0" fontId="0" fillId="0" borderId="8" xfId="0" applyBorder="1"/>
    <xf numFmtId="0" fontId="12" fillId="0" borderId="11" xfId="0" applyFont="1" applyBorder="1" applyAlignment="1">
      <alignment horizontal="center" vertical="center" wrapText="1" readingOrder="1"/>
    </xf>
    <xf numFmtId="43" fontId="12" fillId="0" borderId="11" xfId="0" applyNumberFormat="1" applyFont="1" applyBorder="1" applyAlignment="1">
      <alignment horizontal="center" vertical="center" wrapText="1" readingOrder="1"/>
    </xf>
    <xf numFmtId="43" fontId="0" fillId="0" borderId="8" xfId="1" applyFont="1" applyBorder="1"/>
    <xf numFmtId="0" fontId="2" fillId="0" borderId="8" xfId="0" applyFont="1" applyBorder="1"/>
    <xf numFmtId="0" fontId="2" fillId="0" borderId="8" xfId="0" applyFont="1" applyBorder="1" applyAlignment="1">
      <alignment horizontal="center" vertical="center"/>
    </xf>
    <xf numFmtId="43" fontId="2" fillId="0" borderId="8" xfId="0" applyNumberFormat="1" applyFont="1" applyBorder="1"/>
    <xf numFmtId="0" fontId="2" fillId="0" borderId="0" xfId="0" applyFont="1"/>
    <xf numFmtId="43" fontId="2" fillId="0" borderId="0" xfId="0" applyNumberFormat="1" applyFont="1"/>
    <xf numFmtId="0" fontId="12" fillId="0" borderId="0" xfId="0" applyFont="1" applyAlignment="1">
      <alignment horizontal="center" vertical="center" wrapText="1" readingOrder="1"/>
    </xf>
    <xf numFmtId="43" fontId="12" fillId="0" borderId="0" xfId="1" applyFont="1" applyBorder="1" applyAlignment="1">
      <alignment horizontal="center" vertical="center" wrapText="1" readingOrder="1"/>
    </xf>
    <xf numFmtId="0" fontId="23" fillId="0" borderId="0" xfId="0" applyFont="1" applyAlignment="1">
      <alignment horizontal="center" vertical="center" wrapText="1" readingOrder="1"/>
    </xf>
    <xf numFmtId="0" fontId="21" fillId="0" borderId="8" xfId="0" applyFont="1" applyBorder="1" applyAlignment="1">
      <alignment horizontal="center"/>
    </xf>
    <xf numFmtId="0" fontId="18" fillId="0" borderId="0" xfId="0" applyFont="1" applyAlignment="1">
      <alignment horizontal="center" vertical="center"/>
    </xf>
    <xf numFmtId="0" fontId="22" fillId="0" borderId="0" xfId="0" applyFont="1" applyAlignment="1">
      <alignment horizontal="center"/>
    </xf>
    <xf numFmtId="0" fontId="42" fillId="0" borderId="0" xfId="0" applyFont="1" applyAlignment="1">
      <alignment horizontal="center"/>
    </xf>
    <xf numFmtId="0" fontId="7" fillId="0" borderId="8" xfId="0" applyFont="1" applyBorder="1" applyAlignment="1">
      <alignment horizontal="center" vertical="center" wrapText="1"/>
    </xf>
    <xf numFmtId="0" fontId="5" fillId="0" borderId="8" xfId="0" applyFont="1" applyBorder="1" applyAlignment="1">
      <alignment horizontal="justify" vertical="center" wrapText="1"/>
    </xf>
    <xf numFmtId="0" fontId="2" fillId="2" borderId="8" xfId="0" applyFont="1" applyFill="1" applyBorder="1" applyAlignment="1">
      <alignment horizontal="center"/>
    </xf>
    <xf numFmtId="3" fontId="38" fillId="14" borderId="12" xfId="13" applyNumberFormat="1" applyFont="1" applyFill="1" applyBorder="1" applyAlignment="1">
      <alignment horizontal="center" vertical="center"/>
    </xf>
    <xf numFmtId="3" fontId="38" fillId="14" borderId="6" xfId="13" applyNumberFormat="1" applyFont="1" applyFill="1" applyBorder="1" applyAlignment="1">
      <alignment horizontal="center" vertical="center"/>
    </xf>
    <xf numFmtId="3" fontId="38" fillId="14" borderId="1" xfId="23" quotePrefix="1" applyNumberFormat="1" applyFont="1" applyFill="1" applyBorder="1" applyAlignment="1">
      <alignment horizontal="center" vertical="center"/>
    </xf>
    <xf numFmtId="3" fontId="38" fillId="14" borderId="2" xfId="23" applyNumberFormat="1" applyFont="1" applyFill="1" applyBorder="1" applyAlignment="1">
      <alignment horizontal="center" vertical="center"/>
    </xf>
    <xf numFmtId="0" fontId="19" fillId="5" borderId="1" xfId="0" applyFont="1" applyFill="1" applyBorder="1" applyAlignment="1">
      <alignment horizontal="right" vertical="center" wrapText="1"/>
    </xf>
    <xf numFmtId="0" fontId="19" fillId="5" borderId="2" xfId="0" applyFont="1" applyFill="1" applyBorder="1" applyAlignment="1">
      <alignment horizontal="right" vertical="center" wrapText="1"/>
    </xf>
    <xf numFmtId="0" fontId="19" fillId="5" borderId="7" xfId="0" applyFont="1" applyFill="1" applyBorder="1" applyAlignment="1">
      <alignment horizontal="right" vertical="center" wrapText="1"/>
    </xf>
    <xf numFmtId="0" fontId="19" fillId="0" borderId="8" xfId="0" applyFont="1" applyBorder="1" applyAlignment="1">
      <alignment horizontal="right" vertical="center" wrapText="1"/>
    </xf>
    <xf numFmtId="0" fontId="19" fillId="7" borderId="8" xfId="0" applyFont="1" applyFill="1" applyBorder="1" applyAlignment="1">
      <alignment horizontal="left" vertical="center" wrapText="1"/>
    </xf>
    <xf numFmtId="0" fontId="18" fillId="0" borderId="8" xfId="0" applyFont="1" applyBorder="1" applyAlignment="1">
      <alignment horizontal="center" vertical="center"/>
    </xf>
    <xf numFmtId="0" fontId="19" fillId="7" borderId="18" xfId="0" applyFont="1" applyFill="1" applyBorder="1" applyAlignment="1">
      <alignment horizontal="left" vertical="center" wrapText="1"/>
    </xf>
    <xf numFmtId="0" fontId="19" fillId="0" borderId="17" xfId="0" applyFont="1" applyBorder="1" applyAlignment="1">
      <alignment horizontal="right" vertical="center" wrapText="1"/>
    </xf>
    <xf numFmtId="0" fontId="19" fillId="0" borderId="18" xfId="0" applyFont="1" applyBorder="1" applyAlignment="1">
      <alignment horizontal="right" vertical="center" wrapText="1"/>
    </xf>
    <xf numFmtId="0" fontId="19" fillId="0" borderId="19" xfId="0" applyFont="1" applyBorder="1" applyAlignment="1">
      <alignment horizontal="right" vertical="center" wrapText="1"/>
    </xf>
    <xf numFmtId="0" fontId="23" fillId="3" borderId="13" xfId="0" applyFont="1" applyFill="1" applyBorder="1" applyAlignment="1">
      <alignment horizontal="right" vertical="center" wrapText="1"/>
    </xf>
    <xf numFmtId="0" fontId="23" fillId="3" borderId="10" xfId="0" applyFont="1" applyFill="1" applyBorder="1" applyAlignment="1">
      <alignment horizontal="right" vertical="center" wrapText="1"/>
    </xf>
    <xf numFmtId="0" fontId="23" fillId="3" borderId="14" xfId="0" applyFont="1" applyFill="1" applyBorder="1" applyAlignment="1">
      <alignment horizontal="right" vertical="center" wrapText="1"/>
    </xf>
    <xf numFmtId="0" fontId="23" fillId="3" borderId="1" xfId="0" applyFont="1" applyFill="1" applyBorder="1" applyAlignment="1">
      <alignment horizontal="right" vertical="center" wrapText="1"/>
    </xf>
    <xf numFmtId="0" fontId="23" fillId="3" borderId="2" xfId="0" applyFont="1" applyFill="1" applyBorder="1" applyAlignment="1">
      <alignment horizontal="right" vertical="center" wrapText="1"/>
    </xf>
    <xf numFmtId="0" fontId="23" fillId="3" borderId="7" xfId="0" applyFont="1" applyFill="1" applyBorder="1" applyAlignment="1">
      <alignment horizontal="right" vertical="center" wrapText="1"/>
    </xf>
    <xf numFmtId="0" fontId="18" fillId="2" borderId="2" xfId="0" applyFont="1" applyFill="1" applyBorder="1" applyAlignment="1">
      <alignment horizontal="left" vertical="center" wrapText="1"/>
    </xf>
    <xf numFmtId="0" fontId="18" fillId="2" borderId="7" xfId="0" applyFont="1" applyFill="1" applyBorder="1" applyAlignment="1">
      <alignment horizontal="left" vertical="center" wrapText="1"/>
    </xf>
    <xf numFmtId="0" fontId="18" fillId="2" borderId="1" xfId="0" applyFont="1" applyFill="1" applyBorder="1" applyAlignment="1">
      <alignment horizontal="left" vertical="center" wrapText="1"/>
    </xf>
    <xf numFmtId="0" fontId="18" fillId="2" borderId="8" xfId="0" applyFont="1" applyFill="1" applyBorder="1" applyAlignment="1">
      <alignment horizontal="left" wrapText="1"/>
    </xf>
    <xf numFmtId="0" fontId="18" fillId="2" borderId="1" xfId="0" applyFont="1" applyFill="1" applyBorder="1" applyAlignment="1">
      <alignment horizontal="left" wrapText="1"/>
    </xf>
    <xf numFmtId="0" fontId="18" fillId="2" borderId="2" xfId="0" applyFont="1" applyFill="1" applyBorder="1" applyAlignment="1">
      <alignment horizontal="left" wrapText="1"/>
    </xf>
    <xf numFmtId="0" fontId="27" fillId="0" borderId="1" xfId="0" applyFont="1" applyBorder="1" applyAlignment="1">
      <alignment horizontal="left" wrapText="1"/>
    </xf>
    <xf numFmtId="0" fontId="27" fillId="0" borderId="2" xfId="0" applyFont="1" applyBorder="1" applyAlignment="1">
      <alignment horizontal="left" wrapText="1"/>
    </xf>
    <xf numFmtId="0" fontId="27" fillId="0" borderId="7" xfId="0" applyFont="1" applyBorder="1" applyAlignment="1">
      <alignment horizontal="left" wrapText="1"/>
    </xf>
    <xf numFmtId="0" fontId="18" fillId="0" borderId="1" xfId="0" applyFont="1" applyBorder="1" applyAlignment="1">
      <alignment horizontal="right" wrapText="1"/>
    </xf>
    <xf numFmtId="0" fontId="18" fillId="0" borderId="2" xfId="0" applyFont="1" applyBorder="1" applyAlignment="1">
      <alignment horizontal="right" wrapText="1"/>
    </xf>
    <xf numFmtId="0" fontId="18" fillId="0" borderId="7" xfId="0" applyFont="1" applyBorder="1" applyAlignment="1">
      <alignment horizontal="right" wrapText="1"/>
    </xf>
    <xf numFmtId="0" fontId="18" fillId="0" borderId="8" xfId="0" applyFont="1" applyBorder="1" applyAlignment="1">
      <alignment horizontal="right" wrapText="1"/>
    </xf>
    <xf numFmtId="0" fontId="18" fillId="0" borderId="1" xfId="0" applyFont="1" applyBorder="1" applyAlignment="1">
      <alignment horizontal="left" wrapText="1"/>
    </xf>
    <xf numFmtId="0" fontId="18" fillId="0" borderId="2" xfId="0" applyFont="1" applyBorder="1" applyAlignment="1">
      <alignment horizontal="left" wrapText="1"/>
    </xf>
    <xf numFmtId="0" fontId="18" fillId="0" borderId="7" xfId="0" applyFont="1" applyBorder="1" applyAlignment="1">
      <alignment horizontal="left" wrapText="1"/>
    </xf>
    <xf numFmtId="0" fontId="27" fillId="0" borderId="8" xfId="0" applyFont="1" applyBorder="1" applyAlignment="1">
      <alignment horizontal="left" wrapText="1"/>
    </xf>
    <xf numFmtId="0" fontId="11" fillId="0" borderId="8" xfId="0" applyFont="1" applyBorder="1" applyAlignment="1">
      <alignment horizontal="left" wrapText="1"/>
    </xf>
    <xf numFmtId="0" fontId="18" fillId="0" borderId="8" xfId="0" applyFont="1" applyBorder="1" applyAlignment="1">
      <alignment horizontal="left" wrapText="1"/>
    </xf>
    <xf numFmtId="0" fontId="18" fillId="0" borderId="8" xfId="0" applyFont="1" applyBorder="1" applyAlignment="1">
      <alignment horizontal="right" vertical="center" wrapText="1"/>
    </xf>
    <xf numFmtId="0" fontId="18" fillId="0" borderId="8" xfId="0" applyFont="1" applyBorder="1" applyAlignment="1">
      <alignment horizontal="right"/>
    </xf>
    <xf numFmtId="0" fontId="19" fillId="7" borderId="25" xfId="0" applyFont="1" applyFill="1" applyBorder="1" applyAlignment="1">
      <alignment horizontal="left" vertical="center" wrapText="1"/>
    </xf>
    <xf numFmtId="0" fontId="19" fillId="7" borderId="26" xfId="0" applyFont="1" applyFill="1" applyBorder="1" applyAlignment="1">
      <alignment horizontal="left" vertical="center" wrapText="1"/>
    </xf>
    <xf numFmtId="0" fontId="18" fillId="0" borderId="8" xfId="0" applyFont="1" applyBorder="1" applyAlignment="1">
      <alignment horizontal="left" vertical="center" wrapText="1"/>
    </xf>
    <xf numFmtId="0" fontId="11" fillId="0" borderId="8" xfId="0" applyFont="1" applyBorder="1" applyAlignment="1">
      <alignment horizontal="left" vertical="center" wrapText="1"/>
    </xf>
    <xf numFmtId="0" fontId="18" fillId="0" borderId="9" xfId="0" applyFont="1" applyBorder="1" applyAlignment="1">
      <alignment horizontal="center" vertical="center" wrapText="1"/>
    </xf>
    <xf numFmtId="0" fontId="18" fillId="0" borderId="11" xfId="0" applyFont="1" applyBorder="1" applyAlignment="1">
      <alignment horizontal="center" vertical="center" wrapText="1"/>
    </xf>
    <xf numFmtId="0" fontId="18" fillId="0" borderId="8" xfId="0" applyFont="1" applyBorder="1" applyAlignment="1">
      <alignment horizontal="center" vertical="center" wrapText="1"/>
    </xf>
    <xf numFmtId="0" fontId="18" fillId="2" borderId="8" xfId="0" applyFont="1" applyFill="1" applyBorder="1" applyAlignment="1">
      <alignment horizontal="left" vertical="center" wrapText="1"/>
    </xf>
    <xf numFmtId="0" fontId="12" fillId="0" borderId="1" xfId="0" applyFont="1" applyBorder="1" applyAlignment="1">
      <alignment horizontal="center" vertical="center" wrapText="1" readingOrder="1"/>
    </xf>
    <xf numFmtId="0" fontId="12" fillId="0" borderId="2" xfId="0" applyFont="1" applyBorder="1" applyAlignment="1">
      <alignment horizontal="center" vertical="center" wrapText="1" readingOrder="1"/>
    </xf>
    <xf numFmtId="0" fontId="12" fillId="0" borderId="7" xfId="0" applyFont="1" applyBorder="1" applyAlignment="1">
      <alignment horizontal="center" vertical="center" wrapText="1" readingOrder="1"/>
    </xf>
    <xf numFmtId="0" fontId="12" fillId="0" borderId="0" xfId="0" applyFont="1" applyAlignment="1">
      <alignment horizontal="left" vertical="center" wrapText="1" readingOrder="1"/>
    </xf>
    <xf numFmtId="0" fontId="42" fillId="0" borderId="0" xfId="0" applyFont="1" applyAlignment="1">
      <alignment horizontal="left"/>
    </xf>
    <xf numFmtId="0" fontId="18" fillId="0" borderId="13" xfId="0" applyFont="1" applyBorder="1" applyAlignment="1">
      <alignment horizontal="right" wrapText="1"/>
    </xf>
    <xf numFmtId="0" fontId="18" fillId="0" borderId="10" xfId="0" applyFont="1" applyBorder="1" applyAlignment="1">
      <alignment horizontal="right" wrapText="1"/>
    </xf>
    <xf numFmtId="0" fontId="18" fillId="0" borderId="14" xfId="0" applyFont="1" applyBorder="1" applyAlignment="1">
      <alignment horizontal="right" wrapText="1"/>
    </xf>
    <xf numFmtId="0" fontId="27" fillId="0" borderId="3" xfId="0" applyFont="1" applyBorder="1" applyAlignment="1">
      <alignment horizontal="left" wrapText="1"/>
    </xf>
    <xf numFmtId="0" fontId="27" fillId="0" borderId="4" xfId="0" applyFont="1" applyBorder="1" applyAlignment="1">
      <alignment horizontal="left" wrapText="1"/>
    </xf>
    <xf numFmtId="0" fontId="27" fillId="0" borderId="5" xfId="0" applyFont="1" applyBorder="1" applyAlignment="1">
      <alignment horizontal="left" wrapText="1"/>
    </xf>
    <xf numFmtId="0" fontId="27" fillId="0" borderId="12" xfId="0" applyFont="1" applyBorder="1" applyAlignment="1">
      <alignment horizontal="left" wrapText="1"/>
    </xf>
    <xf numFmtId="0" fontId="27" fillId="0" borderId="0" xfId="0" applyFont="1" applyAlignment="1">
      <alignment horizontal="left" wrapText="1"/>
    </xf>
    <xf numFmtId="0" fontId="27" fillId="0" borderId="6" xfId="0" applyFont="1" applyBorder="1" applyAlignment="1">
      <alignment horizontal="left" wrapText="1"/>
    </xf>
    <xf numFmtId="0" fontId="18" fillId="2" borderId="7" xfId="0" applyFont="1" applyFill="1" applyBorder="1" applyAlignment="1">
      <alignment horizontal="left" wrapText="1"/>
    </xf>
    <xf numFmtId="0" fontId="19" fillId="7" borderId="17" xfId="0" applyFont="1" applyFill="1" applyBorder="1" applyAlignment="1">
      <alignment horizontal="left" vertical="center" wrapText="1"/>
    </xf>
    <xf numFmtId="0" fontId="12" fillId="0" borderId="18" xfId="0" applyFont="1" applyBorder="1" applyAlignment="1">
      <alignment vertical="center"/>
    </xf>
    <xf numFmtId="0" fontId="12" fillId="0" borderId="19" xfId="0" applyFont="1" applyBorder="1" applyAlignment="1">
      <alignment vertical="center"/>
    </xf>
    <xf numFmtId="0" fontId="18" fillId="0" borderId="1" xfId="11" applyFont="1" applyBorder="1" applyAlignment="1">
      <alignment horizontal="right" vertical="center" wrapText="1"/>
    </xf>
    <xf numFmtId="0" fontId="18" fillId="0" borderId="2" xfId="11" applyFont="1" applyBorder="1" applyAlignment="1">
      <alignment horizontal="right" vertical="center" wrapText="1"/>
    </xf>
    <xf numFmtId="0" fontId="18" fillId="0" borderId="7" xfId="11" applyFont="1" applyBorder="1" applyAlignment="1">
      <alignment horizontal="right" vertical="center" wrapText="1"/>
    </xf>
    <xf numFmtId="0" fontId="27" fillId="0" borderId="8" xfId="11" applyFont="1" applyBorder="1" applyAlignment="1">
      <alignment horizontal="left" vertical="center" wrapText="1"/>
    </xf>
    <xf numFmtId="0" fontId="27" fillId="0" borderId="1" xfId="11" applyFont="1" applyBorder="1" applyAlignment="1">
      <alignment horizontal="left" vertical="center" wrapText="1"/>
    </xf>
    <xf numFmtId="0" fontId="27" fillId="0" borderId="2" xfId="11" applyFont="1" applyBorder="1" applyAlignment="1">
      <alignment horizontal="left" vertical="center" wrapText="1"/>
    </xf>
    <xf numFmtId="0" fontId="27" fillId="0" borderId="7" xfId="11" applyFont="1" applyBorder="1" applyAlignment="1">
      <alignment horizontal="left" vertical="center" wrapText="1"/>
    </xf>
    <xf numFmtId="0" fontId="18" fillId="2" borderId="1" xfId="11" applyFont="1" applyFill="1" applyBorder="1" applyAlignment="1">
      <alignment horizontal="left" vertical="center" wrapText="1"/>
    </xf>
    <xf numFmtId="0" fontId="18" fillId="2" borderId="2" xfId="11" applyFont="1" applyFill="1" applyBorder="1" applyAlignment="1">
      <alignment horizontal="left" vertical="center" wrapText="1"/>
    </xf>
    <xf numFmtId="0" fontId="27" fillId="0" borderId="12" xfId="11" applyFont="1" applyBorder="1" applyAlignment="1">
      <alignment horizontal="left" vertical="center" wrapText="1"/>
    </xf>
    <xf numFmtId="0" fontId="27" fillId="0" borderId="0" xfId="11" applyFont="1" applyAlignment="1">
      <alignment horizontal="left" vertical="center" wrapText="1"/>
    </xf>
    <xf numFmtId="0" fontId="27" fillId="0" borderId="6" xfId="11" applyFont="1" applyBorder="1" applyAlignment="1">
      <alignment horizontal="left" vertical="center" wrapText="1"/>
    </xf>
    <xf numFmtId="0" fontId="18" fillId="0" borderId="8" xfId="11" applyFont="1" applyBorder="1" applyAlignment="1">
      <alignment horizontal="right" vertical="center" wrapText="1"/>
    </xf>
    <xf numFmtId="0" fontId="11" fillId="0" borderId="8" xfId="0" applyFont="1" applyBorder="1" applyAlignment="1">
      <alignment horizontal="center"/>
    </xf>
    <xf numFmtId="0" fontId="18" fillId="0" borderId="8" xfId="0" applyFont="1" applyBorder="1" applyAlignment="1">
      <alignment horizontal="center"/>
    </xf>
    <xf numFmtId="0" fontId="11" fillId="0" borderId="1" xfId="0" applyFont="1" applyBorder="1" applyAlignment="1">
      <alignment horizontal="left" vertical="center" wrapText="1"/>
    </xf>
    <xf numFmtId="0" fontId="11" fillId="0" borderId="7" xfId="0" applyFont="1" applyBorder="1" applyAlignment="1">
      <alignment horizontal="left" vertical="center" wrapText="1"/>
    </xf>
    <xf numFmtId="0" fontId="18" fillId="0" borderId="8" xfId="0" applyFont="1" applyBorder="1" applyAlignment="1">
      <alignment horizontal="left"/>
    </xf>
    <xf numFmtId="0" fontId="11" fillId="0" borderId="0" xfId="0" applyFont="1" applyAlignment="1">
      <alignment horizontal="left"/>
    </xf>
    <xf numFmtId="0" fontId="11" fillId="0" borderId="8" xfId="0" applyFont="1" applyBorder="1" applyAlignment="1">
      <alignment horizontal="right"/>
    </xf>
    <xf numFmtId="0" fontId="11" fillId="0" borderId="11" xfId="0" applyFont="1" applyBorder="1" applyAlignment="1">
      <alignment horizontal="right"/>
    </xf>
    <xf numFmtId="0" fontId="18" fillId="0" borderId="28" xfId="11" applyFont="1" applyBorder="1" applyAlignment="1">
      <alignment horizontal="right" vertical="center" wrapText="1"/>
    </xf>
    <xf numFmtId="0" fontId="18" fillId="2" borderId="8" xfId="11" applyFont="1" applyFill="1" applyBorder="1" applyAlignment="1">
      <alignment horizontal="left" vertical="center" wrapText="1"/>
    </xf>
    <xf numFmtId="0" fontId="18" fillId="0" borderId="1" xfId="0" applyFont="1" applyBorder="1" applyAlignment="1">
      <alignment horizontal="center"/>
    </xf>
    <xf numFmtId="0" fontId="18" fillId="0" borderId="7" xfId="0" applyFont="1" applyBorder="1" applyAlignment="1">
      <alignment horizontal="center"/>
    </xf>
    <xf numFmtId="0" fontId="18" fillId="2" borderId="8" xfId="0" applyFont="1" applyFill="1" applyBorder="1" applyAlignment="1">
      <alignment horizontal="center"/>
    </xf>
    <xf numFmtId="0" fontId="11" fillId="0" borderId="0" xfId="0" applyFont="1" applyAlignment="1">
      <alignment horizontal="left" wrapText="1"/>
    </xf>
    <xf numFmtId="0" fontId="11" fillId="0" borderId="8" xfId="0" applyFont="1" applyBorder="1" applyAlignment="1">
      <alignment horizontal="left" vertical="top"/>
    </xf>
    <xf numFmtId="0" fontId="9" fillId="0" borderId="0" xfId="0" applyFont="1" applyAlignment="1">
      <alignment horizontal="center"/>
    </xf>
    <xf numFmtId="0" fontId="10" fillId="0" borderId="0" xfId="0" applyFont="1" applyAlignment="1">
      <alignment horizontal="center"/>
    </xf>
    <xf numFmtId="0" fontId="6" fillId="0" borderId="0" xfId="0" applyFont="1" applyAlignment="1">
      <alignment horizontal="center" vertical="center"/>
    </xf>
    <xf numFmtId="0" fontId="11" fillId="0" borderId="0" xfId="0" applyFont="1" applyAlignment="1">
      <alignment horizontal="center"/>
    </xf>
    <xf numFmtId="0" fontId="10" fillId="0" borderId="0" xfId="0" applyFont="1" applyAlignment="1">
      <alignment horizontal="center" vertical="center"/>
    </xf>
    <xf numFmtId="43" fontId="32" fillId="0" borderId="0" xfId="1" applyFont="1" applyAlignment="1">
      <alignment horizontal="center" vertical="center"/>
    </xf>
    <xf numFmtId="43" fontId="33" fillId="0" borderId="29" xfId="16" applyNumberFormat="1" applyFont="1" applyFill="1" applyAlignment="1">
      <alignment horizontal="center" vertical="center"/>
    </xf>
    <xf numFmtId="43" fontId="1" fillId="0" borderId="0" xfId="1" applyFont="1" applyAlignment="1">
      <alignment horizontal="center" vertical="center"/>
    </xf>
    <xf numFmtId="10" fontId="0" fillId="0" borderId="33" xfId="1" applyNumberFormat="1" applyFont="1" applyFill="1" applyBorder="1" applyAlignment="1">
      <alignment horizontal="left" vertical="center"/>
    </xf>
    <xf numFmtId="43" fontId="1" fillId="0" borderId="0" xfId="1" applyFont="1" applyAlignment="1">
      <alignment horizontal="left" vertical="center"/>
    </xf>
  </cellXfs>
  <cellStyles count="28">
    <cellStyle name="Comma 2" xfId="21" xr:uid="{C55DD9B1-5276-40BB-A0B0-7EF7B433B045}"/>
    <cellStyle name="Comma 2 2" xfId="26" xr:uid="{5EE22DC2-EA63-4AC9-AD77-02E158507788}"/>
    <cellStyle name="Comma 3 2" xfId="24" xr:uid="{EAC340D5-E02C-4AB9-802A-57A93F120C82}"/>
    <cellStyle name="Comma 5" xfId="27" xr:uid="{FDB0499B-41F7-4333-B751-B78DC7E84EEA}"/>
    <cellStyle name="Currency 2" xfId="22" xr:uid="{9EA9F45A-8A11-4AF0-BE58-3FC79E8EA0EC}"/>
    <cellStyle name="Entrada" xfId="17" builtinId="20"/>
    <cellStyle name="Moeda" xfId="2" builtinId="4"/>
    <cellStyle name="Moeda 2" xfId="4" xr:uid="{00000000-0005-0000-0000-000001000000}"/>
    <cellStyle name="Moeda 3" xfId="6" xr:uid="{BEAC70C7-D086-472F-B41C-94843416BCF9}"/>
    <cellStyle name="Moeda 3 2" xfId="8" xr:uid="{5E76305C-D7A9-4366-B973-D537BBDBE3EF}"/>
    <cellStyle name="Normal" xfId="0" builtinId="0"/>
    <cellStyle name="Normal 2" xfId="3" xr:uid="{00000000-0005-0000-0000-000003000000}"/>
    <cellStyle name="Normal 2 10" xfId="25" xr:uid="{18DC90ED-8AF1-40DE-BD9C-30BFC9F66399}"/>
    <cellStyle name="Normal 2 2" xfId="7" xr:uid="{54C42C1D-32AB-496F-B11A-B5FD2B5F5755}"/>
    <cellStyle name="Normal 2 3" xfId="23" xr:uid="{1462B14C-2EB1-4BD1-8680-214925181B83}"/>
    <cellStyle name="Normal 3" xfId="5" xr:uid="{13D5D7DE-C024-492C-AF21-CC2CB82803F8}"/>
    <cellStyle name="Normal 3 2" xfId="13" xr:uid="{FDD54FEB-6DB5-4768-BD33-3C21D4C6ABCA}"/>
    <cellStyle name="Normal 4" xfId="9" xr:uid="{F583F88E-0547-482C-866A-FB720983CA8B}"/>
    <cellStyle name="Normal 7" xfId="11" xr:uid="{C7B798A2-FAF8-458B-B39D-28D15B1AAA6D}"/>
    <cellStyle name="Normal 7 2" xfId="12" xr:uid="{C4D1E9B6-9A82-4EC7-B379-6A64DFF59F88}"/>
    <cellStyle name="Normal 87" xfId="20" xr:uid="{2F0823F4-907D-42E6-A533-E50CAF1E0D07}"/>
    <cellStyle name="Porcentagem" xfId="15" builtinId="5"/>
    <cellStyle name="Saída" xfId="18" builtinId="21"/>
    <cellStyle name="Título 1" xfId="16" builtinId="16"/>
    <cellStyle name="Total" xfId="19" builtinId="25"/>
    <cellStyle name="Vírgula" xfId="1" builtinId="3"/>
    <cellStyle name="Vírgula 2" xfId="10" xr:uid="{695A3D10-0D9F-4C1B-81CD-76B6C6374F47}"/>
    <cellStyle name="Vírgula 5" xfId="14" xr:uid="{BE22A013-8E70-4C46-BEA0-3C257FD87CF3}"/>
  </cellStyles>
  <dxfs count="5">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externalLink" Target="externalLinks/externalLink10.xml"/><Relationship Id="rId39" Type="http://schemas.openxmlformats.org/officeDocument/2006/relationships/externalLink" Target="externalLinks/externalLink23.xml"/><Relationship Id="rId21" Type="http://schemas.openxmlformats.org/officeDocument/2006/relationships/externalLink" Target="externalLinks/externalLink5.xml"/><Relationship Id="rId34" Type="http://schemas.openxmlformats.org/officeDocument/2006/relationships/externalLink" Target="externalLinks/externalLink18.xml"/><Relationship Id="rId42"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29" Type="http://schemas.openxmlformats.org/officeDocument/2006/relationships/externalLink" Target="externalLinks/externalLink13.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8.xml"/><Relationship Id="rId32" Type="http://schemas.openxmlformats.org/officeDocument/2006/relationships/externalLink" Target="externalLinks/externalLink16.xml"/><Relationship Id="rId37" Type="http://schemas.openxmlformats.org/officeDocument/2006/relationships/externalLink" Target="externalLinks/externalLink21.xml"/><Relationship Id="rId40" Type="http://schemas.openxmlformats.org/officeDocument/2006/relationships/externalLink" Target="externalLinks/externalLink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7.xml"/><Relationship Id="rId28" Type="http://schemas.openxmlformats.org/officeDocument/2006/relationships/externalLink" Target="externalLinks/externalLink12.xml"/><Relationship Id="rId36" Type="http://schemas.openxmlformats.org/officeDocument/2006/relationships/externalLink" Target="externalLinks/externalLink20.xml"/><Relationship Id="rId10" Type="http://schemas.openxmlformats.org/officeDocument/2006/relationships/worksheet" Target="worksheets/sheet10.xml"/><Relationship Id="rId19" Type="http://schemas.openxmlformats.org/officeDocument/2006/relationships/externalLink" Target="externalLinks/externalLink3.xml"/><Relationship Id="rId31" Type="http://schemas.openxmlformats.org/officeDocument/2006/relationships/externalLink" Target="externalLinks/externalLink15.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6.xml"/><Relationship Id="rId27" Type="http://schemas.openxmlformats.org/officeDocument/2006/relationships/externalLink" Target="externalLinks/externalLink11.xml"/><Relationship Id="rId30" Type="http://schemas.openxmlformats.org/officeDocument/2006/relationships/externalLink" Target="externalLinks/externalLink14.xml"/><Relationship Id="rId35" Type="http://schemas.openxmlformats.org/officeDocument/2006/relationships/externalLink" Target="externalLinks/externalLink19.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externalLink" Target="externalLinks/externalLink9.xml"/><Relationship Id="rId33" Type="http://schemas.openxmlformats.org/officeDocument/2006/relationships/externalLink" Target="externalLinks/externalLink17.xml"/><Relationship Id="rId38" Type="http://schemas.openxmlformats.org/officeDocument/2006/relationships/externalLink" Target="externalLinks/externalLink22.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3.png"/><Relationship Id="rId1" Type="http://schemas.openxmlformats.org/officeDocument/2006/relationships/image" Target="../media/image2.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13</xdr:col>
          <xdr:colOff>0</xdr:colOff>
          <xdr:row>0</xdr:row>
          <xdr:rowOff>0</xdr:rowOff>
        </xdr:from>
        <xdr:to>
          <xdr:col>14</xdr:col>
          <xdr:colOff>742950</xdr:colOff>
          <xdr:row>0</xdr:row>
          <xdr:rowOff>0</xdr:rowOff>
        </xdr:to>
        <xdr:sp macro="" textlink="">
          <xdr:nvSpPr>
            <xdr:cNvPr id="32769" name="Button 1" hidden="1">
              <a:extLst>
                <a:ext uri="{63B3BB69-23CF-44E3-9099-C40C66FF867C}">
                  <a14:compatExt spid="_x0000_s32769"/>
                </a:ext>
                <a:ext uri="{FF2B5EF4-FFF2-40B4-BE49-F238E27FC236}">
                  <a16:creationId xmlns:a16="http://schemas.microsoft.com/office/drawing/2014/main" id="{00000000-0008-0000-0100-00000180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pt-BR" sz="1000" b="1" i="0" u="none" strike="noStrike" baseline="0">
                  <a:solidFill>
                    <a:srgbClr val="000000"/>
                  </a:solidFill>
                  <a:latin typeface="Arial"/>
                  <a:cs typeface="Arial"/>
                </a:rPr>
                <a:t>Atingir TIR Pretendida</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8</xdr:col>
          <xdr:colOff>0</xdr:colOff>
          <xdr:row>0</xdr:row>
          <xdr:rowOff>0</xdr:rowOff>
        </xdr:from>
        <xdr:to>
          <xdr:col>9</xdr:col>
          <xdr:colOff>742950</xdr:colOff>
          <xdr:row>0</xdr:row>
          <xdr:rowOff>0</xdr:rowOff>
        </xdr:to>
        <xdr:sp macro="" textlink="">
          <xdr:nvSpPr>
            <xdr:cNvPr id="32770" name="Button 2" hidden="1">
              <a:extLst>
                <a:ext uri="{63B3BB69-23CF-44E3-9099-C40C66FF867C}">
                  <a14:compatExt spid="_x0000_s32770"/>
                </a:ext>
                <a:ext uri="{FF2B5EF4-FFF2-40B4-BE49-F238E27FC236}">
                  <a16:creationId xmlns:a16="http://schemas.microsoft.com/office/drawing/2014/main" id="{00000000-0008-0000-0100-00000280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pt-BR" sz="1000" b="1" i="0" u="none" strike="noStrike" baseline="0">
                  <a:solidFill>
                    <a:srgbClr val="000000"/>
                  </a:solidFill>
                  <a:latin typeface="Arial"/>
                  <a:cs typeface="Arial"/>
                </a:rPr>
                <a:t>Atingir TIR Pretendida</a:t>
              </a:r>
            </a:p>
          </xdr:txBody>
        </xdr:sp>
        <xdr:clientData fPrintsWithSheet="0"/>
      </xdr:twoCellAnchor>
    </mc:Choice>
    <mc:Fallback/>
  </mc:AlternateContent>
  <xdr:twoCellAnchor editAs="oneCell">
    <xdr:from>
      <xdr:col>1</xdr:col>
      <xdr:colOff>0</xdr:colOff>
      <xdr:row>0</xdr:row>
      <xdr:rowOff>0</xdr:rowOff>
    </xdr:from>
    <xdr:to>
      <xdr:col>2</xdr:col>
      <xdr:colOff>1740694</xdr:colOff>
      <xdr:row>1</xdr:row>
      <xdr:rowOff>504825</xdr:rowOff>
    </xdr:to>
    <xdr:pic>
      <xdr:nvPicPr>
        <xdr:cNvPr id="4" name="Picture 2" descr="Logomarca ARTESP colorida">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5" y="0"/>
          <a:ext cx="2255044"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0</xdr:colOff>
      <xdr:row>1</xdr:row>
      <xdr:rowOff>19050</xdr:rowOff>
    </xdr:from>
    <xdr:to>
      <xdr:col>7</xdr:col>
      <xdr:colOff>253773</xdr:colOff>
      <xdr:row>1</xdr:row>
      <xdr:rowOff>523875</xdr:rowOff>
    </xdr:to>
    <xdr:pic>
      <xdr:nvPicPr>
        <xdr:cNvPr id="2" name="Picture 2" descr="Logomarca ARTESP colorida">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772400" y="19050"/>
          <a:ext cx="2111148"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xdr:from>
          <xdr:col>8</xdr:col>
          <xdr:colOff>0</xdr:colOff>
          <xdr:row>0</xdr:row>
          <xdr:rowOff>0</xdr:rowOff>
        </xdr:from>
        <xdr:to>
          <xdr:col>9</xdr:col>
          <xdr:colOff>742950</xdr:colOff>
          <xdr:row>0</xdr:row>
          <xdr:rowOff>0</xdr:rowOff>
        </xdr:to>
        <xdr:sp macro="" textlink="">
          <xdr:nvSpPr>
            <xdr:cNvPr id="33793" name="Button 1" hidden="1">
              <a:extLst>
                <a:ext uri="{63B3BB69-23CF-44E3-9099-C40C66FF867C}">
                  <a14:compatExt spid="_x0000_s33793"/>
                </a:ext>
                <a:ext uri="{FF2B5EF4-FFF2-40B4-BE49-F238E27FC236}">
                  <a16:creationId xmlns:a16="http://schemas.microsoft.com/office/drawing/2014/main" id="{00000000-0008-0000-0200-00000184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pt-BR" sz="1000" b="1" i="0" u="none" strike="noStrike" baseline="0">
                  <a:solidFill>
                    <a:srgbClr val="000000"/>
                  </a:solidFill>
                  <a:latin typeface="Arial"/>
                  <a:cs typeface="Arial"/>
                </a:rPr>
                <a:t>Atingir TIR Pretendida</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0</xdr:row>
          <xdr:rowOff>0</xdr:rowOff>
        </xdr:from>
        <xdr:to>
          <xdr:col>14</xdr:col>
          <xdr:colOff>742950</xdr:colOff>
          <xdr:row>0</xdr:row>
          <xdr:rowOff>0</xdr:rowOff>
        </xdr:to>
        <xdr:sp macro="" textlink="">
          <xdr:nvSpPr>
            <xdr:cNvPr id="33794" name="Button 2" hidden="1">
              <a:extLst>
                <a:ext uri="{63B3BB69-23CF-44E3-9099-C40C66FF867C}">
                  <a14:compatExt spid="_x0000_s33794"/>
                </a:ext>
                <a:ext uri="{FF2B5EF4-FFF2-40B4-BE49-F238E27FC236}">
                  <a16:creationId xmlns:a16="http://schemas.microsoft.com/office/drawing/2014/main" id="{00000000-0008-0000-0200-00000284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pt-BR" sz="1000" b="1" i="0" u="none" strike="noStrike" baseline="0">
                  <a:solidFill>
                    <a:srgbClr val="000000"/>
                  </a:solidFill>
                  <a:latin typeface="Arial"/>
                  <a:cs typeface="Arial"/>
                </a:rPr>
                <a:t>Atingir TIR Pretendida</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74084</xdr:rowOff>
    </xdr:from>
    <xdr:to>
      <xdr:col>1</xdr:col>
      <xdr:colOff>642806</xdr:colOff>
      <xdr:row>3</xdr:row>
      <xdr:rowOff>16234</xdr:rowOff>
    </xdr:to>
    <xdr:pic>
      <xdr:nvPicPr>
        <xdr:cNvPr id="3" name="Imagem 2">
          <a:extLst>
            <a:ext uri="{FF2B5EF4-FFF2-40B4-BE49-F238E27FC236}">
              <a16:creationId xmlns:a16="http://schemas.microsoft.com/office/drawing/2014/main" id="{00000000-0008-0000-0F00-000003000000}"/>
            </a:ext>
          </a:extLst>
        </xdr:cNvPr>
        <xdr:cNvPicPr>
          <a:picLocks noChangeAspect="1"/>
        </xdr:cNvPicPr>
      </xdr:nvPicPr>
      <xdr:blipFill rotWithShape="1">
        <a:blip xmlns:r="http://schemas.openxmlformats.org/officeDocument/2006/relationships" r:embed="rId1"/>
        <a:srcRect t="50827" r="67560" b="1"/>
        <a:stretch/>
      </xdr:blipFill>
      <xdr:spPr>
        <a:xfrm>
          <a:off x="0" y="74084"/>
          <a:ext cx="1679973" cy="513650"/>
        </a:xfrm>
        <a:prstGeom prst="rect">
          <a:avLst/>
        </a:prstGeom>
      </xdr:spPr>
    </xdr:pic>
    <xdr:clientData/>
  </xdr:twoCellAnchor>
  <xdr:twoCellAnchor editAs="oneCell">
    <xdr:from>
      <xdr:col>1</xdr:col>
      <xdr:colOff>1291167</xdr:colOff>
      <xdr:row>0</xdr:row>
      <xdr:rowOff>74084</xdr:rowOff>
    </xdr:from>
    <xdr:to>
      <xdr:col>1</xdr:col>
      <xdr:colOff>2881428</xdr:colOff>
      <xdr:row>3</xdr:row>
      <xdr:rowOff>64142</xdr:rowOff>
    </xdr:to>
    <xdr:pic>
      <xdr:nvPicPr>
        <xdr:cNvPr id="4" name="Imagem 3">
          <a:extLst>
            <a:ext uri="{FF2B5EF4-FFF2-40B4-BE49-F238E27FC236}">
              <a16:creationId xmlns:a16="http://schemas.microsoft.com/office/drawing/2014/main" id="{00000000-0008-0000-0F00-000004000000}"/>
            </a:ext>
          </a:extLst>
        </xdr:cNvPr>
        <xdr:cNvPicPr>
          <a:picLocks noChangeAspect="1"/>
        </xdr:cNvPicPr>
      </xdr:nvPicPr>
      <xdr:blipFill>
        <a:blip xmlns:r="http://schemas.openxmlformats.org/officeDocument/2006/relationships" r:embed="rId2">
          <a:extLst>
            <a:ext uri="{BEBA8EAE-BF5A-486C-A8C5-ECC9F3942E4B}">
              <a14:imgProps xmlns:a14="http://schemas.microsoft.com/office/drawing/2010/main">
                <a14:imgLayer r:embed="rId3">
                  <a14:imgEffect>
                    <a14:sharpenSoften amount="25000"/>
                  </a14:imgEffect>
                </a14:imgLayer>
              </a14:imgProps>
            </a:ext>
          </a:extLst>
        </a:blip>
        <a:stretch>
          <a:fillRect/>
        </a:stretch>
      </xdr:blipFill>
      <xdr:spPr>
        <a:xfrm>
          <a:off x="2328334" y="74084"/>
          <a:ext cx="1590261" cy="561558"/>
        </a:xfrm>
        <a:prstGeom prst="rect">
          <a:avLst/>
        </a:prstGeom>
      </xdr:spPr>
    </xdr:pic>
    <xdr:clientData/>
  </xdr:twoCellAnchor>
  <xdr:twoCellAnchor editAs="oneCell">
    <xdr:from>
      <xdr:col>1</xdr:col>
      <xdr:colOff>4243917</xdr:colOff>
      <xdr:row>0</xdr:row>
      <xdr:rowOff>42334</xdr:rowOff>
    </xdr:from>
    <xdr:to>
      <xdr:col>3</xdr:col>
      <xdr:colOff>189126</xdr:colOff>
      <xdr:row>4</xdr:row>
      <xdr:rowOff>875</xdr:rowOff>
    </xdr:to>
    <xdr:pic>
      <xdr:nvPicPr>
        <xdr:cNvPr id="5" name="Imagem 4">
          <a:extLst>
            <a:ext uri="{FF2B5EF4-FFF2-40B4-BE49-F238E27FC236}">
              <a16:creationId xmlns:a16="http://schemas.microsoft.com/office/drawing/2014/main" id="{00000000-0008-0000-0F00-000005000000}"/>
            </a:ext>
          </a:extLst>
        </xdr:cNvPr>
        <xdr:cNvPicPr>
          <a:picLocks noChangeAspect="1"/>
        </xdr:cNvPicPr>
      </xdr:nvPicPr>
      <xdr:blipFill rotWithShape="1">
        <a:blip xmlns:r="http://schemas.openxmlformats.org/officeDocument/2006/relationships" r:embed="rId4"/>
        <a:srcRect l="13788" t="22354" r="16806" b="25778"/>
        <a:stretch/>
      </xdr:blipFill>
      <xdr:spPr>
        <a:xfrm>
          <a:off x="5281084" y="42334"/>
          <a:ext cx="1755459" cy="72054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trata-03\Projeto\2006\CRS%20616%20-%20Projeto%20Basico%20Restauracao%20-%20BR-430-030%20BA%20-%20DERBA\campo\Brumado-Sussuarana\lead\CARACT%20PAV%20EXISTENTE.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G:\192.168.1.20\trabalho\Tralha\2000%20-%20ET%20PIL%20Lote%2011\2016-05\Copy%20of%2009%20-%20VDMA%20-%20Lote%204%20-%20Igor.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worldbankgroup-my.sharepoint.com/Users/samorincriado/WinRAR-HOLD/Rar$DIa6244.6016/IFC_PR_MODELO%20OPERACIONAL_Lote%204_R01.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JGP\IFC-EPL\0.%20FDS\Passivos\BR1-153_Cobertura%20Vegetal_R1.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s://worldbankgroup-my.sharepoint.com/Users/samorincriado/Documents/MEF/191213_MEF%20dutra.xlsm"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orp\depto\ANALISE\EMPRESAS\TEL_SERV\Tele%20Centro%20Sul%20Participa&#231;&#245;es\Brazil%20Telecom%202001\BRP_1Q01.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E:\WINNT\Temporary%20Internet%20Files\OLK3\WINDOWS\Temporary%20Internet%20Files\OLK8304\DEZ.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Users\diego.ferrette\OneDrive\Logit\IFC-Tr&#225;fego%20Federais\sa&#237;da-visum\Modelo%20de%20Proje&#231;&#227;o%20de%20Tr&#225;fego%20(20190818)b.xlsm"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CONTRATOS\C2008-REVIS&#195;O%20E%20COMPLEMENTA&#199;&#195;O%20DO%20PMI%20CHAMAMENTO%2011_2015-TPI\OR&#199;AMENTO\C-1964_Quadro%20PER%20Valores%2001.06.16.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Users\claudino_borges\AppData\Local\Microsoft\Windows\Temporary%20Internet%20Files\Content.Outlook\42W8L9GA\Valoraserver\projetos\TELECOM\MODELS\PUBLISHED_MODELS\COLT.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0895956130c37d6d\JGP\BNDES%20Rodovias%20Federais\CAPEX\Engenharia\RS\MEF%20Federais%20-%20RS1.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T0_ATRIUM\PLANEJAMENTO\windows\TEMP\DCF%204.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bs2001\SIMG-DF\DNIT\08.%20PNCV\6.%20DESENVOLVIMENTO\Ficha%20de%20Insumo\EQUIPAMENTOS.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orp\depto\Analise\EMPRESAS\Water\Sanepar\prjbrs2001.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C:\My%20Received%20Files\Juros%20sobre%20o%20Capital%20Pr&#243;prio%20-%20Dez.03.xls" TargetMode="External"/></Relationships>
</file>

<file path=xl/externalLinks/_rels/externalLink23.xml.rels><?xml version="1.0" encoding="UTF-8" standalone="yes"?>
<Relationships xmlns="http://schemas.openxmlformats.org/package/2006/relationships"><Relationship Id="rId1" Type="http://schemas.microsoft.com/office/2006/relationships/xlExternalLinkPath/xlPathMissing" Target="Worksheet%20in%207140%20Patrim&#244;nio%20L&#237;quido%20-%2030%2009%202003" TargetMode="External"/></Relationships>
</file>

<file path=xl/externalLinks/_rels/externalLink24.xml.rels><?xml version="1.0" encoding="UTF-8" standalone="yes"?>
<Relationships xmlns="http://schemas.openxmlformats.org/package/2006/relationships"><Relationship Id="rId1" Type="http://schemas.microsoft.com/office/2006/relationships/xlExternalLinkPath/xlPathMissing" Target="Controle%20de%20Contratos%20atualizado%20at&#233;%2025.05.200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Users\mac\Documents\02.%20Projetos\02.%20HR\01.%20Projetos\Bertioga\Transporte\Modelagem%20Financeira\Rev02%20-%2021.07.2015\OP07990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H:\gardenparty\Orcamento\2008\2007\Or&#231;amento_2005\Planfin.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Users\mac\Desktop\PdcGesen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Users\mac\Desktop\FRQDFN99.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A:\Obras%20em%20andamento\Marcegaglia\PASTA%20008-99-1\Pasta%20inicial\PROPOSTAS\sanhidrel\Planilhas.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Sr1-ccr\desenvolvimentooperacional$\Desenvolvimento%20e%20Tecnologia\Ricardo%20Penteado\Federais\Lote11\L11CustosREV2-Real\Lote11-adm%20REV2-Real.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bhzagc-fls001\usuarios\bretas\Petrolina\PETROLINA\valuation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ntrada"/>
      <sheetName val="aux"/>
      <sheetName val="graficos"/>
      <sheetName val="graficos (2)"/>
      <sheetName val="Remoção de Solo Mole BR-153"/>
      <sheetName val="$Conserva BR-116 RJ"/>
      <sheetName val="$Conserva BR-116 SP"/>
      <sheetName val="$Conserva BR-101 RJ"/>
      <sheetName val="$Conserva BR-101 SP"/>
      <sheetName val="Assum"/>
      <sheetName val="CARACT PAV EXISTENTE"/>
      <sheetName val="A"/>
      <sheetName val="PSP"/>
      <sheetName val="graficos_(2)"/>
      <sheetName val="CARACT_PAV_EXISTENTE"/>
      <sheetName val="Remoção_de_Solo_Mole_BR-153"/>
      <sheetName val="$Conserva_BR-116_RJ"/>
      <sheetName val="$Conserva_BR-116_SP"/>
      <sheetName val="$Conserva_BR-101_RJ"/>
      <sheetName val="$Conserva_BR-101_SP"/>
      <sheetName val="DADOS"/>
      <sheetName val="p a t o 99 b"/>
      <sheetName val="Premissas"/>
      <sheetName val="Tabela"/>
      <sheetName val="elétrica"/>
      <sheetName val="painel de controle"/>
      <sheetName val="EAIGESEN"/>
      <sheetName val="Apoio"/>
      <sheetName val="DIF FAT FEV 01"/>
    </sheetNames>
    <sheetDataSet>
      <sheetData sheetId="0" refreshError="1"/>
      <sheetData sheetId="1" refreshError="1">
        <row r="6">
          <cell r="B6">
            <v>32.307692307692307</v>
          </cell>
          <cell r="C6">
            <v>28.846153846153843</v>
          </cell>
          <cell r="D6">
            <v>14.615384615384617</v>
          </cell>
          <cell r="E6">
            <v>6.9230769230769234</v>
          </cell>
          <cell r="F6">
            <v>17.307692307692307</v>
          </cell>
          <cell r="I6">
            <v>1.68</v>
          </cell>
          <cell r="J6">
            <v>1.5</v>
          </cell>
          <cell r="K6">
            <v>0.76</v>
          </cell>
          <cell r="L6">
            <v>0.36</v>
          </cell>
          <cell r="M6">
            <v>0.9</v>
          </cell>
        </row>
        <row r="7">
          <cell r="B7" t="str">
            <v>0 - 10</v>
          </cell>
          <cell r="C7" t="str">
            <v>10 - 20</v>
          </cell>
          <cell r="D7" t="str">
            <v>20 - 40</v>
          </cell>
          <cell r="E7" t="str">
            <v>40 - 60</v>
          </cell>
          <cell r="F7" t="str">
            <v>&gt; 60</v>
          </cell>
        </row>
        <row r="8">
          <cell r="B8">
            <v>97.307692307692307</v>
          </cell>
          <cell r="C8">
            <v>2.6923076923076925</v>
          </cell>
          <cell r="D8">
            <v>0</v>
          </cell>
          <cell r="E8">
            <v>0</v>
          </cell>
          <cell r="F8">
            <v>0</v>
          </cell>
          <cell r="I8">
            <v>5.0600000000000005</v>
          </cell>
          <cell r="J8">
            <v>0.14000000000000001</v>
          </cell>
          <cell r="K8">
            <v>0</v>
          </cell>
          <cell r="L8">
            <v>0</v>
          </cell>
          <cell r="M8">
            <v>0</v>
          </cell>
        </row>
        <row r="9">
          <cell r="B9" t="str">
            <v>0 -  10</v>
          </cell>
          <cell r="C9" t="str">
            <v>10 - 20</v>
          </cell>
          <cell r="D9" t="str">
            <v>20 - 40</v>
          </cell>
          <cell r="E9" t="str">
            <v>40 - 60</v>
          </cell>
          <cell r="F9" t="str">
            <v>&gt; 60</v>
          </cell>
        </row>
        <row r="10">
          <cell r="B10">
            <v>29.615384615384617</v>
          </cell>
          <cell r="C10">
            <v>31.538461538461537</v>
          </cell>
          <cell r="D10">
            <v>14.615384615384617</v>
          </cell>
          <cell r="E10">
            <v>6.9230769230769234</v>
          </cell>
          <cell r="F10">
            <v>17.307692307692307</v>
          </cell>
          <cell r="I10">
            <v>1.54</v>
          </cell>
          <cell r="J10">
            <v>1.6400000000000001</v>
          </cell>
          <cell r="K10">
            <v>0.76</v>
          </cell>
          <cell r="L10">
            <v>0.36</v>
          </cell>
          <cell r="M10">
            <v>0.9</v>
          </cell>
        </row>
        <row r="11">
          <cell r="B11" t="str">
            <v>0 - 10</v>
          </cell>
          <cell r="C11" t="str">
            <v>10 - 20</v>
          </cell>
          <cell r="D11" t="str">
            <v>20 - 40</v>
          </cell>
          <cell r="E11" t="str">
            <v>40 - 60</v>
          </cell>
          <cell r="F11" t="str">
            <v>&gt; 60</v>
          </cell>
        </row>
        <row r="12">
          <cell r="B12">
            <v>9.2307692307692317</v>
          </cell>
          <cell r="C12">
            <v>61.53846153846154</v>
          </cell>
          <cell r="D12">
            <v>21.153846153846153</v>
          </cell>
          <cell r="E12">
            <v>8.0769230769230766</v>
          </cell>
          <cell r="F12">
            <v>0</v>
          </cell>
          <cell r="I12">
            <v>0.48</v>
          </cell>
          <cell r="J12">
            <v>3.2</v>
          </cell>
          <cell r="K12">
            <v>1.1000000000000001</v>
          </cell>
          <cell r="L12">
            <v>0.42</v>
          </cell>
          <cell r="M12">
            <v>0</v>
          </cell>
        </row>
        <row r="13">
          <cell r="B13" t="str">
            <v>0 - 20</v>
          </cell>
          <cell r="C13" t="str">
            <v>20 - 40</v>
          </cell>
          <cell r="D13" t="str">
            <v>40 -  80</v>
          </cell>
          <cell r="E13" t="str">
            <v xml:space="preserve"> 80 - 150</v>
          </cell>
          <cell r="F13" t="str">
            <v>&gt; 150</v>
          </cell>
        </row>
        <row r="14">
          <cell r="B14">
            <v>9.2307692307692317</v>
          </cell>
          <cell r="C14">
            <v>63.84615384615384</v>
          </cell>
          <cell r="D14">
            <v>18.846153846153847</v>
          </cell>
          <cell r="E14">
            <v>8.0769230769230766</v>
          </cell>
          <cell r="F14">
            <v>0</v>
          </cell>
          <cell r="I14">
            <v>0.48</v>
          </cell>
          <cell r="J14">
            <v>3.3200000000000003</v>
          </cell>
          <cell r="K14">
            <v>0.98</v>
          </cell>
          <cell r="L14">
            <v>0.42</v>
          </cell>
          <cell r="M14">
            <v>0</v>
          </cell>
        </row>
        <row r="15">
          <cell r="B15" t="str">
            <v xml:space="preserve">  4 - 5</v>
          </cell>
          <cell r="C15" t="str">
            <v xml:space="preserve">  3 -   4</v>
          </cell>
          <cell r="D15" t="str">
            <v xml:space="preserve">  2 -   3</v>
          </cell>
          <cell r="E15" t="str">
            <v xml:space="preserve">  1 -   2</v>
          </cell>
          <cell r="F15" t="str">
            <v>0 -  1</v>
          </cell>
        </row>
        <row r="16">
          <cell r="B16">
            <v>69.230769230769226</v>
          </cell>
          <cell r="C16">
            <v>16.923076923076923</v>
          </cell>
          <cell r="D16">
            <v>13.846153846153847</v>
          </cell>
          <cell r="E16">
            <v>0</v>
          </cell>
          <cell r="F16">
            <v>0</v>
          </cell>
          <cell r="I16">
            <v>3.6</v>
          </cell>
          <cell r="J16">
            <v>0.88</v>
          </cell>
          <cell r="K16">
            <v>0.72</v>
          </cell>
          <cell r="L16">
            <v>0</v>
          </cell>
          <cell r="M16">
            <v>0</v>
          </cell>
        </row>
        <row r="17">
          <cell r="B17" t="str">
            <v>0 -  5</v>
          </cell>
          <cell r="C17" t="str">
            <v xml:space="preserve"> 5 - 10</v>
          </cell>
          <cell r="D17" t="str">
            <v>10 - 15</v>
          </cell>
          <cell r="E17" t="str">
            <v>15 - 20</v>
          </cell>
          <cell r="F17" t="str">
            <v>&gt; 20</v>
          </cell>
        </row>
        <row r="18">
          <cell r="B18">
            <v>0.76923076923076927</v>
          </cell>
          <cell r="C18">
            <v>59.615384615384613</v>
          </cell>
          <cell r="D18">
            <v>26.923076923076923</v>
          </cell>
          <cell r="E18">
            <v>12.692307692307692</v>
          </cell>
          <cell r="F18">
            <v>0</v>
          </cell>
          <cell r="I18">
            <v>0.04</v>
          </cell>
          <cell r="J18">
            <v>3.1</v>
          </cell>
          <cell r="K18">
            <v>1.4000000000000001</v>
          </cell>
          <cell r="L18">
            <v>0.66</v>
          </cell>
          <cell r="M18">
            <v>0</v>
          </cell>
        </row>
        <row r="19">
          <cell r="B19" t="str">
            <v>0 - 20</v>
          </cell>
          <cell r="C19" t="str">
            <v>20 - 40</v>
          </cell>
          <cell r="D19" t="str">
            <v>40 - 60</v>
          </cell>
          <cell r="E19" t="str">
            <v>60 - 80</v>
          </cell>
          <cell r="F19" t="str">
            <v>&gt; 80</v>
          </cell>
        </row>
        <row r="20">
          <cell r="B20">
            <v>0</v>
          </cell>
          <cell r="C20">
            <v>7.6923076923076925</v>
          </cell>
          <cell r="D20">
            <v>92.307692307692307</v>
          </cell>
          <cell r="E20">
            <v>0</v>
          </cell>
          <cell r="F20">
            <v>0</v>
          </cell>
          <cell r="I20">
            <v>0</v>
          </cell>
          <cell r="J20">
            <v>0.4</v>
          </cell>
          <cell r="K20">
            <v>4.8</v>
          </cell>
          <cell r="L20">
            <v>0</v>
          </cell>
          <cell r="M20">
            <v>0</v>
          </cell>
        </row>
        <row r="21">
          <cell r="B21" t="str">
            <v>0 - 20</v>
          </cell>
          <cell r="C21" t="str">
            <v>20 - 40</v>
          </cell>
          <cell r="D21" t="str">
            <v>40 - 80</v>
          </cell>
          <cell r="E21" t="str">
            <v>80 - 120</v>
          </cell>
          <cell r="F21" t="str">
            <v>&gt; 120</v>
          </cell>
        </row>
        <row r="22">
          <cell r="B22">
            <v>0</v>
          </cell>
          <cell r="C22">
            <v>93.07692307692308</v>
          </cell>
          <cell r="D22">
            <v>6.9230769230769234</v>
          </cell>
          <cell r="E22">
            <v>0</v>
          </cell>
          <cell r="F22">
            <v>0</v>
          </cell>
          <cell r="I22">
            <v>0</v>
          </cell>
          <cell r="J22">
            <v>4.84</v>
          </cell>
          <cell r="K22">
            <v>0.36</v>
          </cell>
          <cell r="L22">
            <v>0</v>
          </cell>
          <cell r="M22">
            <v>0</v>
          </cell>
        </row>
        <row r="23">
          <cell r="B23" t="str">
            <v xml:space="preserve">  4 - 5</v>
          </cell>
          <cell r="C23" t="str">
            <v xml:space="preserve">  3 -   4</v>
          </cell>
          <cell r="D23" t="str">
            <v xml:space="preserve">  2 -   3</v>
          </cell>
          <cell r="E23" t="str">
            <v xml:space="preserve">  1 -   2</v>
          </cell>
          <cell r="F23" t="str">
            <v>0 -  1</v>
          </cell>
        </row>
        <row r="24">
          <cell r="B24">
            <v>81.92307692307692</v>
          </cell>
          <cell r="C24">
            <v>18.076923076923077</v>
          </cell>
          <cell r="D24">
            <v>0</v>
          </cell>
          <cell r="E24">
            <v>0</v>
          </cell>
          <cell r="F24">
            <v>0</v>
          </cell>
          <cell r="I24">
            <v>4.26</v>
          </cell>
          <cell r="J24">
            <v>0.94000000000000006</v>
          </cell>
          <cell r="K24">
            <v>0</v>
          </cell>
          <cell r="L24">
            <v>0</v>
          </cell>
          <cell r="M24">
            <v>0</v>
          </cell>
        </row>
        <row r="25">
          <cell r="B25" t="str">
            <v xml:space="preserve">  4 - 5</v>
          </cell>
          <cell r="C25" t="str">
            <v xml:space="preserve">  3 -   4</v>
          </cell>
          <cell r="D25" t="str">
            <v xml:space="preserve">  2 -   3</v>
          </cell>
          <cell r="E25" t="str">
            <v xml:space="preserve">  1 -   2</v>
          </cell>
          <cell r="F25" t="str">
            <v>0 -  1</v>
          </cell>
        </row>
        <row r="26">
          <cell r="B26">
            <v>36.538461538461533</v>
          </cell>
          <cell r="C26">
            <v>55.769230769230774</v>
          </cell>
          <cell r="D26">
            <v>7.6923076923076925</v>
          </cell>
          <cell r="E26">
            <v>0</v>
          </cell>
          <cell r="F26">
            <v>0</v>
          </cell>
          <cell r="I26">
            <v>1.9000000000000001</v>
          </cell>
          <cell r="J26">
            <v>2.9</v>
          </cell>
          <cell r="K26">
            <v>0.4</v>
          </cell>
          <cell r="L26">
            <v>0</v>
          </cell>
          <cell r="M26">
            <v>0</v>
          </cell>
        </row>
        <row r="27">
          <cell r="B27" t="str">
            <v xml:space="preserve">  4 - 5</v>
          </cell>
          <cell r="C27" t="str">
            <v xml:space="preserve">  3 -   4</v>
          </cell>
          <cell r="D27" t="str">
            <v xml:space="preserve">  2 -   3</v>
          </cell>
          <cell r="E27" t="str">
            <v xml:space="preserve">  1 -   2</v>
          </cell>
          <cell r="F27" t="str">
            <v>0 -  1</v>
          </cell>
        </row>
        <row r="28">
          <cell r="B28">
            <v>0</v>
          </cell>
          <cell r="C28">
            <v>45.384615384615387</v>
          </cell>
          <cell r="D28">
            <v>54.615384615384613</v>
          </cell>
          <cell r="E28">
            <v>0</v>
          </cell>
          <cell r="F28">
            <v>0</v>
          </cell>
          <cell r="I28">
            <v>0</v>
          </cell>
          <cell r="J28">
            <v>2.36</v>
          </cell>
          <cell r="K28">
            <v>2.84</v>
          </cell>
          <cell r="L28">
            <v>0</v>
          </cell>
          <cell r="M28">
            <v>0</v>
          </cell>
        </row>
        <row r="29">
          <cell r="B29" t="str">
            <v xml:space="preserve">  4 - 5</v>
          </cell>
          <cell r="C29" t="str">
            <v xml:space="preserve">  3 -   4</v>
          </cell>
          <cell r="D29" t="str">
            <v xml:space="preserve">  2 -   3</v>
          </cell>
          <cell r="E29" t="str">
            <v xml:space="preserve">  1 -   2</v>
          </cell>
          <cell r="F29" t="str">
            <v>0 -  1</v>
          </cell>
        </row>
      </sheetData>
      <sheetData sheetId="2" refreshError="1"/>
      <sheetData sheetId="3" refreshError="1"/>
      <sheetData sheetId="4">
        <row r="6">
          <cell r="B6">
            <v>361</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dos base"/>
      <sheetName val="Resumo eq_total"/>
      <sheetName val="Receitas"/>
      <sheetName val="analise Veq"/>
      <sheetName val="Verificações Veq"/>
      <sheetName val="Veq - Pes"/>
      <sheetName val="Veq - Ref"/>
      <sheetName val="Veq - Oti"/>
      <sheetName val="Verificações V"/>
      <sheetName val="V - Pes"/>
      <sheetName val="V - Ref"/>
      <sheetName val="V - Oti"/>
      <sheetName val="Fugas"/>
      <sheetName val="Lt4-0-Pes"/>
      <sheetName val="Lt4-10-Pes"/>
      <sheetName val="Lt4-15-Pes"/>
      <sheetName val="Lt4-20-Pes"/>
      <sheetName val="Lt4-100-Pes"/>
      <sheetName val="Lt4-RA-Pes"/>
      <sheetName val="Lt4-0-Oti"/>
      <sheetName val="Lt4-10-Oti"/>
      <sheetName val="Lt4-15-Oti"/>
      <sheetName val="Lt4-20-Oti"/>
      <sheetName val="Lt4-100-Oti"/>
      <sheetName val="Lt4-RA-Oti"/>
      <sheetName val="Lt4 Anx 2.D"/>
      <sheetName val="Fugas por Comboio"/>
      <sheetName val="Fugas por ferro (c Fugas)"/>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row r="1">
          <cell r="B1" t="str">
            <v>Volume 2 - Anexo 2.D</v>
          </cell>
        </row>
        <row r="2">
          <cell r="A2" t="str">
            <v>Anexo 2.D</v>
          </cell>
          <cell r="B2" t="str">
            <v>VDMA por Praça de Pedágio (com Fuga, sem Ferrovia)</v>
          </cell>
          <cell r="J2" t="str">
            <v>Anexo 2.B</v>
          </cell>
          <cell r="K2" t="str">
            <v>VDMA por Praça de Pedágio (com Fuga, com Ferrovia)</v>
          </cell>
        </row>
        <row r="3">
          <cell r="A3" t="str">
            <v>Anexo 2.C</v>
          </cell>
          <cell r="B3" t="str">
            <v>VDMA por Praça de Pedágio (sem Fuga, sem Ferrovia)</v>
          </cell>
          <cell r="AL3" t="str">
            <v>Extrapolação</v>
          </cell>
        </row>
        <row r="4">
          <cell r="G4" t="str">
            <v>Ano 0</v>
          </cell>
          <cell r="H4" t="str">
            <v>Ano 1</v>
          </cell>
          <cell r="I4" t="str">
            <v>Ano 2</v>
          </cell>
          <cell r="J4" t="str">
            <v>Ano 3</v>
          </cell>
          <cell r="K4" t="str">
            <v>Ano 4</v>
          </cell>
          <cell r="L4" t="str">
            <v>Ano 5</v>
          </cell>
          <cell r="M4" t="str">
            <v>Ano 6</v>
          </cell>
          <cell r="N4" t="str">
            <v>Ano 7</v>
          </cell>
          <cell r="O4" t="str">
            <v>Ano 8</v>
          </cell>
          <cell r="P4" t="str">
            <v>Ano 9</v>
          </cell>
          <cell r="Q4" t="str">
            <v>Ano 10</v>
          </cell>
          <cell r="R4" t="str">
            <v>Ano 11</v>
          </cell>
          <cell r="S4" t="str">
            <v>Ano 12</v>
          </cell>
          <cell r="T4" t="str">
            <v>Ano 13</v>
          </cell>
          <cell r="U4" t="str">
            <v>Ano 14</v>
          </cell>
          <cell r="V4" t="str">
            <v>Ano 15</v>
          </cell>
          <cell r="W4" t="str">
            <v>Ano 16</v>
          </cell>
          <cell r="X4" t="str">
            <v>Ano 17</v>
          </cell>
          <cell r="Y4" t="str">
            <v>Ano 18</v>
          </cell>
          <cell r="Z4" t="str">
            <v>Ano 19</v>
          </cell>
          <cell r="AA4" t="str">
            <v>Ano 20</v>
          </cell>
          <cell r="AB4" t="str">
            <v>Ano 21</v>
          </cell>
          <cell r="AC4" t="str">
            <v>Ano 22</v>
          </cell>
          <cell r="AD4" t="str">
            <v>Ano 23</v>
          </cell>
          <cell r="AE4" t="str">
            <v>Ano 24</v>
          </cell>
          <cell r="AF4" t="str">
            <v>Ano 25</v>
          </cell>
          <cell r="AG4" t="str">
            <v>Ano 26</v>
          </cell>
          <cell r="AH4" t="str">
            <v>Ano 27</v>
          </cell>
          <cell r="AI4" t="str">
            <v>Ano 28</v>
          </cell>
          <cell r="AJ4" t="str">
            <v>Ano 29</v>
          </cell>
          <cell r="AK4" t="str">
            <v>Ano 30</v>
          </cell>
          <cell r="AL4" t="str">
            <v>Ano 31</v>
          </cell>
          <cell r="AM4" t="str">
            <v>Ano 32</v>
          </cell>
        </row>
        <row r="5">
          <cell r="G5">
            <v>2013</v>
          </cell>
          <cell r="H5">
            <v>2014</v>
          </cell>
          <cell r="I5">
            <v>2015</v>
          </cell>
          <cell r="J5">
            <v>2016</v>
          </cell>
          <cell r="K5">
            <v>2017</v>
          </cell>
          <cell r="L5">
            <v>2018</v>
          </cell>
          <cell r="M5">
            <v>2019</v>
          </cell>
          <cell r="N5">
            <v>2020</v>
          </cell>
          <cell r="O5">
            <v>2021</v>
          </cell>
          <cell r="P5">
            <v>2022</v>
          </cell>
          <cell r="Q5">
            <v>2023</v>
          </cell>
          <cell r="R5">
            <v>2024</v>
          </cell>
          <cell r="S5">
            <v>2025</v>
          </cell>
          <cell r="T5">
            <v>2026</v>
          </cell>
          <cell r="U5">
            <v>2027</v>
          </cell>
          <cell r="V5">
            <v>2028</v>
          </cell>
          <cell r="W5">
            <v>2029</v>
          </cell>
          <cell r="X5">
            <v>2030</v>
          </cell>
          <cell r="Y5">
            <v>2031</v>
          </cell>
          <cell r="Z5">
            <v>2032</v>
          </cell>
          <cell r="AA5">
            <v>2033</v>
          </cell>
          <cell r="AB5">
            <v>2034</v>
          </cell>
          <cell r="AC5">
            <v>2035</v>
          </cell>
          <cell r="AD5">
            <v>2036</v>
          </cell>
          <cell r="AE5">
            <v>2037</v>
          </cell>
          <cell r="AF5">
            <v>2038</v>
          </cell>
          <cell r="AG5">
            <v>2039</v>
          </cell>
          <cell r="AH5">
            <v>2040</v>
          </cell>
          <cell r="AI5">
            <v>2041</v>
          </cell>
          <cell r="AJ5">
            <v>2042</v>
          </cell>
          <cell r="AK5">
            <v>2043</v>
          </cell>
          <cell r="AL5">
            <v>2044</v>
          </cell>
          <cell r="AM5">
            <v>2045</v>
          </cell>
        </row>
        <row r="7">
          <cell r="B7" t="str">
            <v>Volumes diários médios anuais de tráfego (VDMA) estimados por praça de pedágio (com fuga, com ferrovia)</v>
          </cell>
        </row>
        <row r="9">
          <cell r="B9" t="str">
            <v>VDMAeq - Todas as praças</v>
          </cell>
          <cell r="G9">
            <v>113976</v>
          </cell>
          <cell r="H9">
            <v>118339</v>
          </cell>
          <cell r="I9">
            <v>113646</v>
          </cell>
          <cell r="J9">
            <v>118472</v>
          </cell>
          <cell r="K9">
            <v>123508</v>
          </cell>
          <cell r="L9">
            <v>128763</v>
          </cell>
          <cell r="M9">
            <v>119928</v>
          </cell>
          <cell r="N9">
            <v>124794</v>
          </cell>
          <cell r="O9">
            <v>129859</v>
          </cell>
          <cell r="P9">
            <v>135130</v>
          </cell>
          <cell r="Q9">
            <v>140616</v>
          </cell>
          <cell r="R9">
            <v>146327</v>
          </cell>
          <cell r="S9">
            <v>151756</v>
          </cell>
          <cell r="T9">
            <v>157387</v>
          </cell>
          <cell r="U9">
            <v>163226</v>
          </cell>
          <cell r="V9">
            <v>169282</v>
          </cell>
          <cell r="W9">
            <v>175563</v>
          </cell>
          <cell r="X9">
            <v>181917</v>
          </cell>
          <cell r="Y9">
            <v>188501</v>
          </cell>
          <cell r="Z9">
            <v>195323</v>
          </cell>
          <cell r="AA9">
            <v>202393</v>
          </cell>
          <cell r="AB9">
            <v>209718</v>
          </cell>
          <cell r="AC9">
            <v>217222</v>
          </cell>
          <cell r="AD9">
            <v>224994</v>
          </cell>
          <cell r="AE9">
            <v>233045</v>
          </cell>
          <cell r="AF9">
            <v>241384</v>
          </cell>
          <cell r="AG9">
            <v>250021</v>
          </cell>
          <cell r="AH9">
            <v>258881</v>
          </cell>
          <cell r="AI9">
            <v>268056</v>
          </cell>
          <cell r="AJ9">
            <v>277556</v>
          </cell>
          <cell r="AK9">
            <v>287393</v>
          </cell>
          <cell r="AL9">
            <v>297230</v>
          </cell>
          <cell r="AM9">
            <v>307067</v>
          </cell>
        </row>
        <row r="10">
          <cell r="B10" t="str">
            <v>VDMA - Todas as praças</v>
          </cell>
          <cell r="G10">
            <v>52405</v>
          </cell>
          <cell r="H10">
            <v>54232</v>
          </cell>
          <cell r="I10">
            <v>52380</v>
          </cell>
          <cell r="J10">
            <v>54426</v>
          </cell>
          <cell r="K10">
            <v>56554</v>
          </cell>
          <cell r="L10">
            <v>58766</v>
          </cell>
          <cell r="M10">
            <v>58421</v>
          </cell>
          <cell r="N10">
            <v>60700</v>
          </cell>
          <cell r="O10">
            <v>63069</v>
          </cell>
          <cell r="P10">
            <v>65531</v>
          </cell>
          <cell r="Q10">
            <v>68088</v>
          </cell>
          <cell r="R10">
            <v>70747</v>
          </cell>
          <cell r="S10">
            <v>73358</v>
          </cell>
          <cell r="T10">
            <v>76065</v>
          </cell>
          <cell r="U10">
            <v>78873</v>
          </cell>
          <cell r="V10">
            <v>81784</v>
          </cell>
          <cell r="W10">
            <v>84802</v>
          </cell>
          <cell r="X10">
            <v>87871</v>
          </cell>
          <cell r="Y10">
            <v>91050</v>
          </cell>
          <cell r="Z10">
            <v>94344</v>
          </cell>
          <cell r="AA10">
            <v>97758</v>
          </cell>
          <cell r="AB10">
            <v>101295</v>
          </cell>
          <cell r="AC10">
            <v>104919</v>
          </cell>
          <cell r="AD10">
            <v>108673</v>
          </cell>
          <cell r="AE10">
            <v>112562</v>
          </cell>
          <cell r="AF10">
            <v>116589</v>
          </cell>
          <cell r="AG10">
            <v>120761</v>
          </cell>
          <cell r="AH10">
            <v>125041</v>
          </cell>
          <cell r="AI10">
            <v>129472</v>
          </cell>
          <cell r="AJ10">
            <v>134061</v>
          </cell>
          <cell r="AK10">
            <v>138812</v>
          </cell>
          <cell r="AL10">
            <v>143563</v>
          </cell>
          <cell r="AM10">
            <v>148314</v>
          </cell>
        </row>
        <row r="12">
          <cell r="B12" t="str">
            <v>Praça 1</v>
          </cell>
        </row>
        <row r="13">
          <cell r="E13" t="str">
            <v>VDMAeq</v>
          </cell>
          <cell r="G13">
            <v>10526</v>
          </cell>
          <cell r="H13">
            <v>10949</v>
          </cell>
          <cell r="I13">
            <v>11035</v>
          </cell>
          <cell r="J13">
            <v>11522</v>
          </cell>
          <cell r="K13">
            <v>12031</v>
          </cell>
          <cell r="L13">
            <v>12563</v>
          </cell>
          <cell r="M13">
            <v>11402</v>
          </cell>
          <cell r="N13">
            <v>11871</v>
          </cell>
          <cell r="O13">
            <v>12359</v>
          </cell>
          <cell r="P13">
            <v>12867</v>
          </cell>
          <cell r="Q13">
            <v>13397</v>
          </cell>
          <cell r="R13">
            <v>13948</v>
          </cell>
          <cell r="S13">
            <v>14466</v>
          </cell>
          <cell r="T13">
            <v>15004</v>
          </cell>
          <cell r="U13">
            <v>15561</v>
          </cell>
          <cell r="V13">
            <v>16139</v>
          </cell>
          <cell r="W13">
            <v>16739</v>
          </cell>
          <cell r="X13">
            <v>17345</v>
          </cell>
          <cell r="Y13">
            <v>17972</v>
          </cell>
          <cell r="Z13">
            <v>18623</v>
          </cell>
          <cell r="AA13">
            <v>19297</v>
          </cell>
          <cell r="AB13">
            <v>19995</v>
          </cell>
          <cell r="AC13">
            <v>20711</v>
          </cell>
          <cell r="AD13">
            <v>21452</v>
          </cell>
          <cell r="AE13">
            <v>22219</v>
          </cell>
          <cell r="AF13">
            <v>23014</v>
          </cell>
          <cell r="AG13">
            <v>23838</v>
          </cell>
          <cell r="AH13">
            <v>24683</v>
          </cell>
          <cell r="AI13">
            <v>25557</v>
          </cell>
          <cell r="AJ13">
            <v>26463</v>
          </cell>
          <cell r="AK13">
            <v>27401</v>
          </cell>
          <cell r="AL13">
            <v>28339</v>
          </cell>
          <cell r="AM13">
            <v>29277</v>
          </cell>
        </row>
        <row r="14">
          <cell r="B14" t="str">
            <v>Praça</v>
          </cell>
          <cell r="C14" t="str">
            <v xml:space="preserve"> Categoria de veículo</v>
          </cell>
          <cell r="E14" t="str">
            <v>VDMA</v>
          </cell>
          <cell r="G14">
            <v>4284</v>
          </cell>
          <cell r="H14">
            <v>4443</v>
          </cell>
          <cell r="I14">
            <v>4498</v>
          </cell>
          <cell r="J14">
            <v>4682</v>
          </cell>
          <cell r="K14">
            <v>4875</v>
          </cell>
          <cell r="L14">
            <v>5075</v>
          </cell>
          <cell r="M14">
            <v>4975</v>
          </cell>
          <cell r="N14">
            <v>5172</v>
          </cell>
          <cell r="O14">
            <v>5377</v>
          </cell>
          <cell r="P14">
            <v>5590</v>
          </cell>
          <cell r="Q14">
            <v>5812</v>
          </cell>
          <cell r="R14">
            <v>6042</v>
          </cell>
          <cell r="S14">
            <v>6265</v>
          </cell>
          <cell r="T14">
            <v>6497</v>
          </cell>
          <cell r="U14">
            <v>6737</v>
          </cell>
          <cell r="V14">
            <v>6986</v>
          </cell>
          <cell r="W14">
            <v>7244</v>
          </cell>
          <cell r="X14">
            <v>7506</v>
          </cell>
          <cell r="Y14">
            <v>7778</v>
          </cell>
          <cell r="Z14">
            <v>8059</v>
          </cell>
          <cell r="AA14">
            <v>8351</v>
          </cell>
          <cell r="AB14">
            <v>8653</v>
          </cell>
          <cell r="AC14">
            <v>8963</v>
          </cell>
          <cell r="AD14">
            <v>9283</v>
          </cell>
          <cell r="AE14">
            <v>9615</v>
          </cell>
          <cell r="AF14">
            <v>9959</v>
          </cell>
          <cell r="AG14">
            <v>10316</v>
          </cell>
          <cell r="AH14">
            <v>10681</v>
          </cell>
          <cell r="AI14">
            <v>11060</v>
          </cell>
          <cell r="AJ14">
            <v>11452</v>
          </cell>
          <cell r="AK14">
            <v>11858</v>
          </cell>
          <cell r="AL14">
            <v>12264</v>
          </cell>
          <cell r="AM14">
            <v>12670</v>
          </cell>
        </row>
        <row r="15">
          <cell r="A15" t="str">
            <v>ANTTP1C1</v>
          </cell>
          <cell r="B15">
            <v>1</v>
          </cell>
          <cell r="C15">
            <v>1</v>
          </cell>
          <cell r="D15" t="str">
            <v>automóveis</v>
          </cell>
          <cell r="G15">
            <v>2158</v>
          </cell>
          <cell r="H15">
            <v>2235</v>
          </cell>
          <cell r="I15">
            <v>2279</v>
          </cell>
          <cell r="J15">
            <v>2369</v>
          </cell>
          <cell r="K15">
            <v>2461</v>
          </cell>
          <cell r="L15">
            <v>2557</v>
          </cell>
          <cell r="M15">
            <v>2658</v>
          </cell>
          <cell r="N15">
            <v>2761</v>
          </cell>
          <cell r="O15">
            <v>2869</v>
          </cell>
          <cell r="P15">
            <v>2980</v>
          </cell>
          <cell r="Q15">
            <v>3096</v>
          </cell>
          <cell r="R15">
            <v>3216</v>
          </cell>
          <cell r="S15">
            <v>3335</v>
          </cell>
          <cell r="T15">
            <v>3458</v>
          </cell>
          <cell r="U15">
            <v>3585</v>
          </cell>
          <cell r="V15">
            <v>3717</v>
          </cell>
          <cell r="W15">
            <v>3854</v>
          </cell>
          <cell r="X15">
            <v>3994</v>
          </cell>
          <cell r="Y15">
            <v>4138</v>
          </cell>
          <cell r="Z15">
            <v>4288</v>
          </cell>
          <cell r="AA15">
            <v>4443</v>
          </cell>
          <cell r="AB15">
            <v>4604</v>
          </cell>
          <cell r="AC15">
            <v>4768</v>
          </cell>
          <cell r="AD15">
            <v>4939</v>
          </cell>
          <cell r="AE15">
            <v>5116</v>
          </cell>
          <cell r="AF15">
            <v>5299</v>
          </cell>
          <cell r="AG15">
            <v>5488</v>
          </cell>
          <cell r="AH15">
            <v>5683</v>
          </cell>
          <cell r="AI15">
            <v>5884</v>
          </cell>
          <cell r="AJ15">
            <v>6093</v>
          </cell>
          <cell r="AK15">
            <v>6309</v>
          </cell>
          <cell r="AL15">
            <v>6525</v>
          </cell>
          <cell r="AM15">
            <v>6741</v>
          </cell>
        </row>
        <row r="16">
          <cell r="A16" t="str">
            <v>ANTTP1C2</v>
          </cell>
          <cell r="B16">
            <v>1</v>
          </cell>
          <cell r="C16">
            <v>2</v>
          </cell>
          <cell r="D16" t="str">
            <v>automóveis+semi-reboques</v>
          </cell>
          <cell r="G16">
            <v>26</v>
          </cell>
          <cell r="H16">
            <v>27</v>
          </cell>
          <cell r="I16">
            <v>27</v>
          </cell>
          <cell r="J16">
            <v>29</v>
          </cell>
          <cell r="K16">
            <v>30</v>
          </cell>
          <cell r="L16">
            <v>31</v>
          </cell>
          <cell r="M16">
            <v>32</v>
          </cell>
          <cell r="N16">
            <v>33</v>
          </cell>
          <cell r="O16">
            <v>35</v>
          </cell>
          <cell r="P16">
            <v>36</v>
          </cell>
          <cell r="Q16">
            <v>37</v>
          </cell>
          <cell r="R16">
            <v>39</v>
          </cell>
          <cell r="S16">
            <v>40</v>
          </cell>
          <cell r="T16">
            <v>42</v>
          </cell>
          <cell r="U16">
            <v>43</v>
          </cell>
          <cell r="V16">
            <v>45</v>
          </cell>
          <cell r="W16">
            <v>46</v>
          </cell>
          <cell r="X16">
            <v>48</v>
          </cell>
          <cell r="Y16">
            <v>50</v>
          </cell>
          <cell r="Z16">
            <v>52</v>
          </cell>
          <cell r="AA16">
            <v>54</v>
          </cell>
          <cell r="AB16">
            <v>55</v>
          </cell>
          <cell r="AC16">
            <v>57</v>
          </cell>
          <cell r="AD16">
            <v>59</v>
          </cell>
          <cell r="AE16">
            <v>62</v>
          </cell>
          <cell r="AF16">
            <v>64</v>
          </cell>
          <cell r="AG16">
            <v>66</v>
          </cell>
          <cell r="AH16">
            <v>68</v>
          </cell>
          <cell r="AI16">
            <v>71</v>
          </cell>
          <cell r="AJ16">
            <v>73</v>
          </cell>
          <cell r="AK16">
            <v>76</v>
          </cell>
          <cell r="AL16">
            <v>79</v>
          </cell>
          <cell r="AM16">
            <v>82</v>
          </cell>
        </row>
        <row r="17">
          <cell r="A17" t="str">
            <v>ANTTP1C3</v>
          </cell>
          <cell r="B17">
            <v>1</v>
          </cell>
          <cell r="C17">
            <v>3</v>
          </cell>
          <cell r="D17" t="str">
            <v>automóveis+reboques</v>
          </cell>
          <cell r="G17">
            <v>6</v>
          </cell>
          <cell r="H17">
            <v>7</v>
          </cell>
          <cell r="I17">
            <v>7</v>
          </cell>
          <cell r="J17">
            <v>7</v>
          </cell>
          <cell r="K17">
            <v>7</v>
          </cell>
          <cell r="L17">
            <v>8</v>
          </cell>
          <cell r="M17">
            <v>8</v>
          </cell>
          <cell r="N17">
            <v>8</v>
          </cell>
          <cell r="O17">
            <v>9</v>
          </cell>
          <cell r="P17">
            <v>9</v>
          </cell>
          <cell r="Q17">
            <v>9</v>
          </cell>
          <cell r="R17">
            <v>10</v>
          </cell>
          <cell r="S17">
            <v>10</v>
          </cell>
          <cell r="T17">
            <v>10</v>
          </cell>
          <cell r="U17">
            <v>11</v>
          </cell>
          <cell r="V17">
            <v>11</v>
          </cell>
          <cell r="W17">
            <v>12</v>
          </cell>
          <cell r="X17">
            <v>12</v>
          </cell>
          <cell r="Y17">
            <v>12</v>
          </cell>
          <cell r="Z17">
            <v>13</v>
          </cell>
          <cell r="AA17">
            <v>13</v>
          </cell>
          <cell r="AB17">
            <v>14</v>
          </cell>
          <cell r="AC17">
            <v>14</v>
          </cell>
          <cell r="AD17">
            <v>15</v>
          </cell>
          <cell r="AE17">
            <v>15</v>
          </cell>
          <cell r="AF17">
            <v>16</v>
          </cell>
          <cell r="AG17">
            <v>17</v>
          </cell>
          <cell r="AH17">
            <v>17</v>
          </cell>
          <cell r="AI17">
            <v>18</v>
          </cell>
          <cell r="AJ17">
            <v>18</v>
          </cell>
          <cell r="AK17">
            <v>19</v>
          </cell>
          <cell r="AL17">
            <v>20</v>
          </cell>
          <cell r="AM17">
            <v>21</v>
          </cell>
        </row>
        <row r="18">
          <cell r="A18" t="str">
            <v>ANTTP1C4</v>
          </cell>
          <cell r="B18">
            <v>1</v>
          </cell>
          <cell r="C18">
            <v>4</v>
          </cell>
          <cell r="D18" t="str">
            <v>veículos comerciais 2 eixos</v>
          </cell>
          <cell r="G18">
            <v>496</v>
          </cell>
          <cell r="H18">
            <v>513</v>
          </cell>
          <cell r="I18">
            <v>514</v>
          </cell>
          <cell r="J18">
            <v>533</v>
          </cell>
          <cell r="K18">
            <v>553</v>
          </cell>
          <cell r="L18">
            <v>573</v>
          </cell>
          <cell r="M18">
            <v>595</v>
          </cell>
          <cell r="N18">
            <v>617</v>
          </cell>
          <cell r="O18">
            <v>640</v>
          </cell>
          <cell r="P18">
            <v>664</v>
          </cell>
          <cell r="Q18">
            <v>689</v>
          </cell>
          <cell r="R18">
            <v>715</v>
          </cell>
          <cell r="S18">
            <v>741</v>
          </cell>
          <cell r="T18">
            <v>768</v>
          </cell>
          <cell r="U18">
            <v>796</v>
          </cell>
          <cell r="V18">
            <v>826</v>
          </cell>
          <cell r="W18">
            <v>856</v>
          </cell>
          <cell r="X18">
            <v>887</v>
          </cell>
          <cell r="Y18">
            <v>919</v>
          </cell>
          <cell r="Z18">
            <v>952</v>
          </cell>
          <cell r="AA18">
            <v>987</v>
          </cell>
          <cell r="AB18">
            <v>1022</v>
          </cell>
          <cell r="AC18">
            <v>1059</v>
          </cell>
          <cell r="AD18">
            <v>1097</v>
          </cell>
          <cell r="AE18">
            <v>1136</v>
          </cell>
          <cell r="AF18">
            <v>1177</v>
          </cell>
          <cell r="AG18">
            <v>1219</v>
          </cell>
          <cell r="AH18">
            <v>1262</v>
          </cell>
          <cell r="AI18">
            <v>1307</v>
          </cell>
          <cell r="AJ18">
            <v>1353</v>
          </cell>
          <cell r="AK18">
            <v>1401</v>
          </cell>
          <cell r="AL18">
            <v>1449</v>
          </cell>
          <cell r="AM18">
            <v>1497</v>
          </cell>
        </row>
        <row r="19">
          <cell r="A19" t="str">
            <v>ANTTP1C5</v>
          </cell>
          <cell r="B19">
            <v>1</v>
          </cell>
          <cell r="C19">
            <v>5</v>
          </cell>
          <cell r="D19" t="str">
            <v>veículos comerciais 3 eixos</v>
          </cell>
          <cell r="G19">
            <v>499</v>
          </cell>
          <cell r="H19">
            <v>515</v>
          </cell>
          <cell r="I19">
            <v>516</v>
          </cell>
          <cell r="J19">
            <v>535</v>
          </cell>
          <cell r="K19">
            <v>555</v>
          </cell>
          <cell r="L19">
            <v>575</v>
          </cell>
          <cell r="M19">
            <v>595</v>
          </cell>
          <cell r="N19">
            <v>617</v>
          </cell>
          <cell r="O19">
            <v>640</v>
          </cell>
          <cell r="P19">
            <v>664</v>
          </cell>
          <cell r="Q19">
            <v>689</v>
          </cell>
          <cell r="R19">
            <v>715</v>
          </cell>
          <cell r="S19">
            <v>741</v>
          </cell>
          <cell r="T19">
            <v>768</v>
          </cell>
          <cell r="U19">
            <v>796</v>
          </cell>
          <cell r="V19">
            <v>825</v>
          </cell>
          <cell r="W19">
            <v>855</v>
          </cell>
          <cell r="X19">
            <v>886</v>
          </cell>
          <cell r="Y19">
            <v>918</v>
          </cell>
          <cell r="Z19">
            <v>952</v>
          </cell>
          <cell r="AA19">
            <v>986</v>
          </cell>
          <cell r="AB19">
            <v>1022</v>
          </cell>
          <cell r="AC19">
            <v>1058</v>
          </cell>
          <cell r="AD19">
            <v>1096</v>
          </cell>
          <cell r="AE19">
            <v>1135</v>
          </cell>
          <cell r="AF19">
            <v>1176</v>
          </cell>
          <cell r="AG19">
            <v>1218</v>
          </cell>
          <cell r="AH19">
            <v>1261</v>
          </cell>
          <cell r="AI19">
            <v>1306</v>
          </cell>
          <cell r="AJ19">
            <v>1352</v>
          </cell>
          <cell r="AK19">
            <v>1400</v>
          </cell>
          <cell r="AL19">
            <v>1448</v>
          </cell>
          <cell r="AM19">
            <v>1496</v>
          </cell>
        </row>
        <row r="20">
          <cell r="A20" t="str">
            <v>ANTTP1C6</v>
          </cell>
          <cell r="B20">
            <v>1</v>
          </cell>
          <cell r="C20">
            <v>6</v>
          </cell>
          <cell r="D20" t="str">
            <v>veículos comerciais 4 eixos</v>
          </cell>
          <cell r="G20">
            <v>290</v>
          </cell>
          <cell r="H20">
            <v>303</v>
          </cell>
          <cell r="I20">
            <v>305</v>
          </cell>
          <cell r="J20">
            <v>320</v>
          </cell>
          <cell r="K20">
            <v>336</v>
          </cell>
          <cell r="L20">
            <v>353</v>
          </cell>
          <cell r="M20">
            <v>287</v>
          </cell>
          <cell r="N20">
            <v>299</v>
          </cell>
          <cell r="O20">
            <v>313</v>
          </cell>
          <cell r="P20">
            <v>326</v>
          </cell>
          <cell r="Q20">
            <v>341</v>
          </cell>
          <cell r="R20">
            <v>356</v>
          </cell>
          <cell r="S20">
            <v>369</v>
          </cell>
          <cell r="T20">
            <v>383</v>
          </cell>
          <cell r="U20">
            <v>398</v>
          </cell>
          <cell r="V20">
            <v>413</v>
          </cell>
          <cell r="W20">
            <v>428</v>
          </cell>
          <cell r="X20">
            <v>444</v>
          </cell>
          <cell r="Y20">
            <v>460</v>
          </cell>
          <cell r="Z20">
            <v>476</v>
          </cell>
          <cell r="AA20">
            <v>494</v>
          </cell>
          <cell r="AB20">
            <v>511</v>
          </cell>
          <cell r="AC20">
            <v>530</v>
          </cell>
          <cell r="AD20">
            <v>549</v>
          </cell>
          <cell r="AE20">
            <v>568</v>
          </cell>
          <cell r="AF20">
            <v>589</v>
          </cell>
          <cell r="AG20">
            <v>610</v>
          </cell>
          <cell r="AH20">
            <v>631</v>
          </cell>
          <cell r="AI20">
            <v>654</v>
          </cell>
          <cell r="AJ20">
            <v>677</v>
          </cell>
          <cell r="AK20">
            <v>701</v>
          </cell>
          <cell r="AL20">
            <v>725</v>
          </cell>
          <cell r="AM20">
            <v>749</v>
          </cell>
        </row>
        <row r="21">
          <cell r="A21" t="str">
            <v>ANTTP1C7</v>
          </cell>
          <cell r="B21">
            <v>1</v>
          </cell>
          <cell r="C21">
            <v>7</v>
          </cell>
          <cell r="D21" t="str">
            <v>caminhões 5 eixos</v>
          </cell>
          <cell r="G21">
            <v>217</v>
          </cell>
          <cell r="H21">
            <v>227</v>
          </cell>
          <cell r="I21">
            <v>229</v>
          </cell>
          <cell r="J21">
            <v>240</v>
          </cell>
          <cell r="K21">
            <v>252</v>
          </cell>
          <cell r="L21">
            <v>265</v>
          </cell>
          <cell r="M21">
            <v>215</v>
          </cell>
          <cell r="N21">
            <v>225</v>
          </cell>
          <cell r="O21">
            <v>235</v>
          </cell>
          <cell r="P21">
            <v>245</v>
          </cell>
          <cell r="Q21">
            <v>256</v>
          </cell>
          <cell r="R21">
            <v>267</v>
          </cell>
          <cell r="S21">
            <v>277</v>
          </cell>
          <cell r="T21">
            <v>288</v>
          </cell>
          <cell r="U21">
            <v>298</v>
          </cell>
          <cell r="V21">
            <v>310</v>
          </cell>
          <cell r="W21">
            <v>321</v>
          </cell>
          <cell r="X21">
            <v>333</v>
          </cell>
          <cell r="Y21">
            <v>345</v>
          </cell>
          <cell r="Z21">
            <v>357</v>
          </cell>
          <cell r="AA21">
            <v>370</v>
          </cell>
          <cell r="AB21">
            <v>384</v>
          </cell>
          <cell r="AC21">
            <v>398</v>
          </cell>
          <cell r="AD21">
            <v>412</v>
          </cell>
          <cell r="AE21">
            <v>427</v>
          </cell>
          <cell r="AF21">
            <v>442</v>
          </cell>
          <cell r="AG21">
            <v>458</v>
          </cell>
          <cell r="AH21">
            <v>474</v>
          </cell>
          <cell r="AI21">
            <v>491</v>
          </cell>
          <cell r="AJ21">
            <v>508</v>
          </cell>
          <cell r="AK21">
            <v>526</v>
          </cell>
          <cell r="AL21">
            <v>544</v>
          </cell>
          <cell r="AM21">
            <v>562</v>
          </cell>
        </row>
        <row r="22">
          <cell r="A22" t="str">
            <v>ANTTP1C8</v>
          </cell>
          <cell r="B22">
            <v>1</v>
          </cell>
          <cell r="C22">
            <v>8</v>
          </cell>
          <cell r="D22" t="str">
            <v>caminhões 6 eixos</v>
          </cell>
          <cell r="G22">
            <v>356</v>
          </cell>
          <cell r="H22">
            <v>372</v>
          </cell>
          <cell r="I22">
            <v>374</v>
          </cell>
          <cell r="J22">
            <v>391</v>
          </cell>
          <cell r="K22">
            <v>410</v>
          </cell>
          <cell r="L22">
            <v>430</v>
          </cell>
          <cell r="M22">
            <v>355</v>
          </cell>
          <cell r="N22">
            <v>371</v>
          </cell>
          <cell r="O22">
            <v>387</v>
          </cell>
          <cell r="P22">
            <v>404</v>
          </cell>
          <cell r="Q22">
            <v>422</v>
          </cell>
          <cell r="R22">
            <v>440</v>
          </cell>
          <cell r="S22">
            <v>457</v>
          </cell>
          <cell r="T22">
            <v>474</v>
          </cell>
          <cell r="U22">
            <v>492</v>
          </cell>
          <cell r="V22">
            <v>510</v>
          </cell>
          <cell r="W22">
            <v>529</v>
          </cell>
          <cell r="X22">
            <v>549</v>
          </cell>
          <cell r="Y22">
            <v>568</v>
          </cell>
          <cell r="Z22">
            <v>589</v>
          </cell>
          <cell r="AA22">
            <v>610</v>
          </cell>
          <cell r="AB22">
            <v>632</v>
          </cell>
          <cell r="AC22">
            <v>655</v>
          </cell>
          <cell r="AD22">
            <v>679</v>
          </cell>
          <cell r="AE22">
            <v>703</v>
          </cell>
          <cell r="AF22">
            <v>728</v>
          </cell>
          <cell r="AG22">
            <v>754</v>
          </cell>
          <cell r="AH22">
            <v>781</v>
          </cell>
          <cell r="AI22">
            <v>808</v>
          </cell>
          <cell r="AJ22">
            <v>837</v>
          </cell>
          <cell r="AK22">
            <v>867</v>
          </cell>
          <cell r="AL22">
            <v>897</v>
          </cell>
          <cell r="AM22">
            <v>927</v>
          </cell>
        </row>
        <row r="23">
          <cell r="A23" t="str">
            <v>ANTTP1C9</v>
          </cell>
          <cell r="B23">
            <v>1</v>
          </cell>
          <cell r="C23">
            <v>9</v>
          </cell>
          <cell r="D23" t="str">
            <v>caminhões 7 eixos</v>
          </cell>
          <cell r="G23">
            <v>164</v>
          </cell>
          <cell r="H23">
            <v>171</v>
          </cell>
          <cell r="I23">
            <v>173</v>
          </cell>
          <cell r="J23">
            <v>181</v>
          </cell>
          <cell r="K23">
            <v>190</v>
          </cell>
          <cell r="L23">
            <v>200</v>
          </cell>
          <cell r="M23">
            <v>153</v>
          </cell>
          <cell r="N23">
            <v>160</v>
          </cell>
          <cell r="O23">
            <v>167</v>
          </cell>
          <cell r="P23">
            <v>174</v>
          </cell>
          <cell r="Q23">
            <v>182</v>
          </cell>
          <cell r="R23">
            <v>190</v>
          </cell>
          <cell r="S23">
            <v>197</v>
          </cell>
          <cell r="T23">
            <v>205</v>
          </cell>
          <cell r="U23">
            <v>212</v>
          </cell>
          <cell r="V23">
            <v>220</v>
          </cell>
          <cell r="W23">
            <v>228</v>
          </cell>
          <cell r="X23">
            <v>237</v>
          </cell>
          <cell r="Y23">
            <v>245</v>
          </cell>
          <cell r="Z23">
            <v>254</v>
          </cell>
          <cell r="AA23">
            <v>263</v>
          </cell>
          <cell r="AB23">
            <v>273</v>
          </cell>
          <cell r="AC23">
            <v>283</v>
          </cell>
          <cell r="AD23">
            <v>293</v>
          </cell>
          <cell r="AE23">
            <v>303</v>
          </cell>
          <cell r="AF23">
            <v>314</v>
          </cell>
          <cell r="AG23">
            <v>325</v>
          </cell>
          <cell r="AH23">
            <v>337</v>
          </cell>
          <cell r="AI23">
            <v>349</v>
          </cell>
          <cell r="AJ23">
            <v>361</v>
          </cell>
          <cell r="AK23">
            <v>374</v>
          </cell>
          <cell r="AL23">
            <v>387</v>
          </cell>
          <cell r="AM23">
            <v>400</v>
          </cell>
        </row>
        <row r="24">
          <cell r="A24" t="str">
            <v>ANTTP1C10</v>
          </cell>
          <cell r="B24">
            <v>1</v>
          </cell>
          <cell r="C24">
            <v>10</v>
          </cell>
          <cell r="D24" t="str">
            <v>caminhões 8 eixos</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row>
        <row r="25">
          <cell r="A25" t="str">
            <v>ANTTP1C11</v>
          </cell>
          <cell r="B25">
            <v>1</v>
          </cell>
          <cell r="C25">
            <v>11</v>
          </cell>
          <cell r="D25" t="str">
            <v>caminhões 9 eixos</v>
          </cell>
          <cell r="G25">
            <v>27</v>
          </cell>
          <cell r="H25">
            <v>29</v>
          </cell>
          <cell r="I25">
            <v>29</v>
          </cell>
          <cell r="J25">
            <v>30</v>
          </cell>
          <cell r="K25">
            <v>32</v>
          </cell>
          <cell r="L25">
            <v>33</v>
          </cell>
          <cell r="M25">
            <v>25</v>
          </cell>
          <cell r="N25">
            <v>27</v>
          </cell>
          <cell r="O25">
            <v>28</v>
          </cell>
          <cell r="P25">
            <v>29</v>
          </cell>
          <cell r="Q25">
            <v>30</v>
          </cell>
          <cell r="R25">
            <v>32</v>
          </cell>
          <cell r="S25">
            <v>33</v>
          </cell>
          <cell r="T25">
            <v>34</v>
          </cell>
          <cell r="U25">
            <v>35</v>
          </cell>
          <cell r="V25">
            <v>37</v>
          </cell>
          <cell r="W25">
            <v>38</v>
          </cell>
          <cell r="X25">
            <v>39</v>
          </cell>
          <cell r="Y25">
            <v>41</v>
          </cell>
          <cell r="Z25">
            <v>42</v>
          </cell>
          <cell r="AA25">
            <v>44</v>
          </cell>
          <cell r="AB25">
            <v>45</v>
          </cell>
          <cell r="AC25">
            <v>47</v>
          </cell>
          <cell r="AD25">
            <v>49</v>
          </cell>
          <cell r="AE25">
            <v>50</v>
          </cell>
          <cell r="AF25">
            <v>52</v>
          </cell>
          <cell r="AG25">
            <v>54</v>
          </cell>
          <cell r="AH25">
            <v>56</v>
          </cell>
          <cell r="AI25">
            <v>58</v>
          </cell>
          <cell r="AJ25">
            <v>60</v>
          </cell>
          <cell r="AK25">
            <v>62</v>
          </cell>
          <cell r="AL25">
            <v>64</v>
          </cell>
          <cell r="AM25">
            <v>66</v>
          </cell>
        </row>
        <row r="26">
          <cell r="A26" t="str">
            <v>ANTTP1C12</v>
          </cell>
          <cell r="B26">
            <v>1</v>
          </cell>
          <cell r="C26">
            <v>12</v>
          </cell>
          <cell r="D26" t="str">
            <v>caminhões 10 ou + eixos</v>
          </cell>
          <cell r="G26">
            <v>3</v>
          </cell>
          <cell r="H26">
            <v>3</v>
          </cell>
          <cell r="I26">
            <v>3</v>
          </cell>
          <cell r="J26">
            <v>3</v>
          </cell>
          <cell r="K26">
            <v>4</v>
          </cell>
          <cell r="L26">
            <v>4</v>
          </cell>
          <cell r="M26">
            <v>3</v>
          </cell>
          <cell r="N26">
            <v>3</v>
          </cell>
          <cell r="O26">
            <v>3</v>
          </cell>
          <cell r="P26">
            <v>3</v>
          </cell>
          <cell r="Q26">
            <v>3</v>
          </cell>
          <cell r="R26">
            <v>4</v>
          </cell>
          <cell r="S26">
            <v>4</v>
          </cell>
          <cell r="T26">
            <v>4</v>
          </cell>
          <cell r="U26">
            <v>4</v>
          </cell>
          <cell r="V26">
            <v>4</v>
          </cell>
          <cell r="W26">
            <v>4</v>
          </cell>
          <cell r="X26">
            <v>4</v>
          </cell>
          <cell r="Y26">
            <v>5</v>
          </cell>
          <cell r="Z26">
            <v>5</v>
          </cell>
          <cell r="AA26">
            <v>5</v>
          </cell>
          <cell r="AB26">
            <v>5</v>
          </cell>
          <cell r="AC26">
            <v>5</v>
          </cell>
          <cell r="AD26">
            <v>5</v>
          </cell>
          <cell r="AE26">
            <v>6</v>
          </cell>
          <cell r="AF26">
            <v>6</v>
          </cell>
          <cell r="AG26">
            <v>6</v>
          </cell>
          <cell r="AH26">
            <v>6</v>
          </cell>
          <cell r="AI26">
            <v>6</v>
          </cell>
          <cell r="AJ26">
            <v>7</v>
          </cell>
          <cell r="AK26">
            <v>7</v>
          </cell>
          <cell r="AL26">
            <v>7</v>
          </cell>
          <cell r="AM26">
            <v>7</v>
          </cell>
        </row>
        <row r="27">
          <cell r="A27" t="str">
            <v>ANTTP1C13</v>
          </cell>
          <cell r="B27">
            <v>1</v>
          </cell>
          <cell r="C27">
            <v>13</v>
          </cell>
          <cell r="D27" t="str">
            <v>motocicletas</v>
          </cell>
          <cell r="G27">
            <v>40</v>
          </cell>
          <cell r="H27">
            <v>42</v>
          </cell>
          <cell r="I27">
            <v>42</v>
          </cell>
          <cell r="J27">
            <v>43</v>
          </cell>
          <cell r="K27">
            <v>45</v>
          </cell>
          <cell r="L27">
            <v>47</v>
          </cell>
          <cell r="M27">
            <v>49</v>
          </cell>
          <cell r="N27">
            <v>51</v>
          </cell>
          <cell r="O27">
            <v>53</v>
          </cell>
          <cell r="P27">
            <v>55</v>
          </cell>
          <cell r="Q27">
            <v>57</v>
          </cell>
          <cell r="R27">
            <v>59</v>
          </cell>
          <cell r="S27">
            <v>62</v>
          </cell>
          <cell r="T27">
            <v>64</v>
          </cell>
          <cell r="U27">
            <v>66</v>
          </cell>
          <cell r="V27">
            <v>69</v>
          </cell>
          <cell r="W27">
            <v>71</v>
          </cell>
          <cell r="X27">
            <v>74</v>
          </cell>
          <cell r="Y27">
            <v>76</v>
          </cell>
          <cell r="Z27">
            <v>79</v>
          </cell>
          <cell r="AA27">
            <v>82</v>
          </cell>
          <cell r="AB27">
            <v>85</v>
          </cell>
          <cell r="AC27">
            <v>88</v>
          </cell>
          <cell r="AD27">
            <v>91</v>
          </cell>
          <cell r="AE27">
            <v>94</v>
          </cell>
          <cell r="AF27">
            <v>98</v>
          </cell>
          <cell r="AG27">
            <v>101</v>
          </cell>
          <cell r="AH27">
            <v>105</v>
          </cell>
          <cell r="AI27">
            <v>109</v>
          </cell>
          <cell r="AJ27">
            <v>113</v>
          </cell>
          <cell r="AK27">
            <v>117</v>
          </cell>
          <cell r="AL27">
            <v>121</v>
          </cell>
          <cell r="AM27">
            <v>125</v>
          </cell>
        </row>
        <row r="28">
          <cell r="D28" t="str">
            <v>Autos+motos</v>
          </cell>
          <cell r="G28">
            <v>2230</v>
          </cell>
          <cell r="H28">
            <v>2311</v>
          </cell>
          <cell r="I28">
            <v>2355</v>
          </cell>
          <cell r="J28">
            <v>2448</v>
          </cell>
          <cell r="K28">
            <v>2543</v>
          </cell>
          <cell r="L28">
            <v>2643</v>
          </cell>
        </row>
        <row r="29">
          <cell r="B29" t="str">
            <v>Praça 2</v>
          </cell>
        </row>
        <row r="30">
          <cell r="B30">
            <v>2</v>
          </cell>
          <cell r="E30" t="str">
            <v>VDMAeq</v>
          </cell>
          <cell r="G30">
            <v>10117</v>
          </cell>
          <cell r="H30">
            <v>10529</v>
          </cell>
          <cell r="I30">
            <v>10087</v>
          </cell>
          <cell r="J30">
            <v>10539</v>
          </cell>
          <cell r="K30">
            <v>11010</v>
          </cell>
          <cell r="L30">
            <v>11504</v>
          </cell>
          <cell r="M30">
            <v>10305</v>
          </cell>
          <cell r="N30">
            <v>10730</v>
          </cell>
          <cell r="O30">
            <v>11174</v>
          </cell>
          <cell r="P30">
            <v>11636</v>
          </cell>
          <cell r="Q30">
            <v>12117</v>
          </cell>
          <cell r="R30">
            <v>12619</v>
          </cell>
          <cell r="S30">
            <v>13088</v>
          </cell>
          <cell r="T30">
            <v>13574</v>
          </cell>
          <cell r="U30">
            <v>14079</v>
          </cell>
          <cell r="V30">
            <v>14602</v>
          </cell>
          <cell r="W30">
            <v>15145</v>
          </cell>
          <cell r="X30">
            <v>15693</v>
          </cell>
          <cell r="Y30">
            <v>16261</v>
          </cell>
          <cell r="Z30">
            <v>16849</v>
          </cell>
          <cell r="AA30">
            <v>17459</v>
          </cell>
          <cell r="AB30">
            <v>18091</v>
          </cell>
          <cell r="AC30">
            <v>18739</v>
          </cell>
          <cell r="AD30">
            <v>19409</v>
          </cell>
          <cell r="AE30">
            <v>20104</v>
          </cell>
          <cell r="AF30">
            <v>20823</v>
          </cell>
          <cell r="AG30">
            <v>21568</v>
          </cell>
          <cell r="AH30">
            <v>22332</v>
          </cell>
          <cell r="AI30">
            <v>23124</v>
          </cell>
          <cell r="AJ30">
            <v>23943</v>
          </cell>
          <cell r="AK30">
            <v>24792</v>
          </cell>
          <cell r="AL30">
            <v>25641</v>
          </cell>
          <cell r="AM30">
            <v>26490</v>
          </cell>
        </row>
        <row r="31">
          <cell r="B31" t="str">
            <v>Praça</v>
          </cell>
          <cell r="C31" t="str">
            <v xml:space="preserve"> Categoria de veículo</v>
          </cell>
          <cell r="E31" t="str">
            <v>VDMA</v>
          </cell>
          <cell r="G31">
            <v>4092</v>
          </cell>
          <cell r="H31">
            <v>4246</v>
          </cell>
          <cell r="I31">
            <v>4077</v>
          </cell>
          <cell r="J31">
            <v>4246</v>
          </cell>
          <cell r="K31">
            <v>4422</v>
          </cell>
          <cell r="L31">
            <v>4606</v>
          </cell>
          <cell r="M31">
            <v>4490</v>
          </cell>
          <cell r="N31">
            <v>4668</v>
          </cell>
          <cell r="O31">
            <v>4854</v>
          </cell>
          <cell r="P31">
            <v>5047</v>
          </cell>
          <cell r="Q31">
            <v>5248</v>
          </cell>
          <cell r="R31">
            <v>5456</v>
          </cell>
          <cell r="S31">
            <v>5658</v>
          </cell>
          <cell r="T31">
            <v>5867</v>
          </cell>
          <cell r="U31">
            <v>6084</v>
          </cell>
          <cell r="V31">
            <v>6309</v>
          </cell>
          <cell r="W31">
            <v>6542</v>
          </cell>
          <cell r="X31">
            <v>6779</v>
          </cell>
          <cell r="Y31">
            <v>7024</v>
          </cell>
          <cell r="Z31">
            <v>7279</v>
          </cell>
          <cell r="AA31">
            <v>7542</v>
          </cell>
          <cell r="AB31">
            <v>7815</v>
          </cell>
          <cell r="AC31">
            <v>8094</v>
          </cell>
          <cell r="AD31">
            <v>8384</v>
          </cell>
          <cell r="AE31">
            <v>8684</v>
          </cell>
          <cell r="AF31">
            <v>8995</v>
          </cell>
          <cell r="AG31">
            <v>9317</v>
          </cell>
          <cell r="AH31">
            <v>9647</v>
          </cell>
          <cell r="AI31">
            <v>9989</v>
          </cell>
          <cell r="AJ31">
            <v>10343</v>
          </cell>
          <cell r="AK31">
            <v>10709</v>
          </cell>
          <cell r="AL31">
            <v>11075</v>
          </cell>
          <cell r="AM31">
            <v>11441</v>
          </cell>
        </row>
        <row r="32">
          <cell r="A32" t="str">
            <v>ANTTP2C1</v>
          </cell>
          <cell r="B32">
            <v>2</v>
          </cell>
          <cell r="C32">
            <v>1</v>
          </cell>
          <cell r="D32" t="str">
            <v>automóveis</v>
          </cell>
          <cell r="G32">
            <v>2063</v>
          </cell>
          <cell r="H32">
            <v>2136</v>
          </cell>
          <cell r="I32">
            <v>2054</v>
          </cell>
          <cell r="J32">
            <v>2135</v>
          </cell>
          <cell r="K32">
            <v>2218</v>
          </cell>
          <cell r="L32">
            <v>2305</v>
          </cell>
          <cell r="M32">
            <v>2397</v>
          </cell>
          <cell r="N32">
            <v>2490</v>
          </cell>
          <cell r="O32">
            <v>2587</v>
          </cell>
          <cell r="P32">
            <v>2687</v>
          </cell>
          <cell r="Q32">
            <v>2792</v>
          </cell>
          <cell r="R32">
            <v>2900</v>
          </cell>
          <cell r="S32">
            <v>3007</v>
          </cell>
          <cell r="T32">
            <v>3118</v>
          </cell>
          <cell r="U32">
            <v>3233</v>
          </cell>
          <cell r="V32">
            <v>3352</v>
          </cell>
          <cell r="W32">
            <v>3476</v>
          </cell>
          <cell r="X32">
            <v>3601</v>
          </cell>
          <cell r="Y32">
            <v>3732</v>
          </cell>
          <cell r="Z32">
            <v>3867</v>
          </cell>
          <cell r="AA32">
            <v>4007</v>
          </cell>
          <cell r="AB32">
            <v>4152</v>
          </cell>
          <cell r="AC32">
            <v>4300</v>
          </cell>
          <cell r="AD32">
            <v>4454</v>
          </cell>
          <cell r="AE32">
            <v>4613</v>
          </cell>
          <cell r="AF32">
            <v>4778</v>
          </cell>
          <cell r="AG32">
            <v>4949</v>
          </cell>
          <cell r="AH32">
            <v>5125</v>
          </cell>
          <cell r="AI32">
            <v>5306</v>
          </cell>
          <cell r="AJ32">
            <v>5495</v>
          </cell>
          <cell r="AK32">
            <v>5689</v>
          </cell>
          <cell r="AL32">
            <v>5883</v>
          </cell>
          <cell r="AM32">
            <v>6077</v>
          </cell>
        </row>
        <row r="33">
          <cell r="A33" t="str">
            <v>ANTTP2C2</v>
          </cell>
          <cell r="B33">
            <v>2</v>
          </cell>
          <cell r="C33">
            <v>2</v>
          </cell>
          <cell r="D33" t="str">
            <v>automóveis+semi-reboques</v>
          </cell>
          <cell r="G33">
            <v>25</v>
          </cell>
          <cell r="H33">
            <v>26</v>
          </cell>
          <cell r="I33">
            <v>25</v>
          </cell>
          <cell r="J33">
            <v>26</v>
          </cell>
          <cell r="K33">
            <v>27</v>
          </cell>
          <cell r="L33">
            <v>28</v>
          </cell>
          <cell r="M33">
            <v>29</v>
          </cell>
          <cell r="N33">
            <v>30</v>
          </cell>
          <cell r="O33">
            <v>31</v>
          </cell>
          <cell r="P33">
            <v>32</v>
          </cell>
          <cell r="Q33">
            <v>34</v>
          </cell>
          <cell r="R33">
            <v>35</v>
          </cell>
          <cell r="S33">
            <v>36</v>
          </cell>
          <cell r="T33">
            <v>38</v>
          </cell>
          <cell r="U33">
            <v>39</v>
          </cell>
          <cell r="V33">
            <v>40</v>
          </cell>
          <cell r="W33">
            <v>42</v>
          </cell>
          <cell r="X33">
            <v>43</v>
          </cell>
          <cell r="Y33">
            <v>45</v>
          </cell>
          <cell r="Z33">
            <v>47</v>
          </cell>
          <cell r="AA33">
            <v>48</v>
          </cell>
          <cell r="AB33">
            <v>50</v>
          </cell>
          <cell r="AC33">
            <v>52</v>
          </cell>
          <cell r="AD33">
            <v>54</v>
          </cell>
          <cell r="AE33">
            <v>56</v>
          </cell>
          <cell r="AF33">
            <v>58</v>
          </cell>
          <cell r="AG33">
            <v>60</v>
          </cell>
          <cell r="AH33">
            <v>62</v>
          </cell>
          <cell r="AI33">
            <v>64</v>
          </cell>
          <cell r="AJ33">
            <v>66</v>
          </cell>
          <cell r="AK33">
            <v>69</v>
          </cell>
          <cell r="AL33">
            <v>72</v>
          </cell>
          <cell r="AM33">
            <v>75</v>
          </cell>
        </row>
        <row r="34">
          <cell r="A34" t="str">
            <v>ANTTP2C3</v>
          </cell>
          <cell r="B34">
            <v>2</v>
          </cell>
          <cell r="C34">
            <v>3</v>
          </cell>
          <cell r="D34" t="str">
            <v>automóveis+reboques</v>
          </cell>
          <cell r="G34">
            <v>6</v>
          </cell>
          <cell r="H34">
            <v>6</v>
          </cell>
          <cell r="I34">
            <v>6</v>
          </cell>
          <cell r="J34">
            <v>6</v>
          </cell>
          <cell r="K34">
            <v>7</v>
          </cell>
          <cell r="L34">
            <v>7</v>
          </cell>
          <cell r="M34">
            <v>7</v>
          </cell>
          <cell r="N34">
            <v>7</v>
          </cell>
          <cell r="O34">
            <v>8</v>
          </cell>
          <cell r="P34">
            <v>8</v>
          </cell>
          <cell r="Q34">
            <v>8</v>
          </cell>
          <cell r="R34">
            <v>9</v>
          </cell>
          <cell r="S34">
            <v>9</v>
          </cell>
          <cell r="T34">
            <v>9</v>
          </cell>
          <cell r="U34">
            <v>10</v>
          </cell>
          <cell r="V34">
            <v>10</v>
          </cell>
          <cell r="W34">
            <v>10</v>
          </cell>
          <cell r="X34">
            <v>11</v>
          </cell>
          <cell r="Y34">
            <v>11</v>
          </cell>
          <cell r="Z34">
            <v>12</v>
          </cell>
          <cell r="AA34">
            <v>12</v>
          </cell>
          <cell r="AB34">
            <v>13</v>
          </cell>
          <cell r="AC34">
            <v>13</v>
          </cell>
          <cell r="AD34">
            <v>13</v>
          </cell>
          <cell r="AE34">
            <v>14</v>
          </cell>
          <cell r="AF34">
            <v>14</v>
          </cell>
          <cell r="AG34">
            <v>15</v>
          </cell>
          <cell r="AH34">
            <v>15</v>
          </cell>
          <cell r="AI34">
            <v>16</v>
          </cell>
          <cell r="AJ34">
            <v>17</v>
          </cell>
          <cell r="AK34">
            <v>17</v>
          </cell>
          <cell r="AL34">
            <v>17</v>
          </cell>
          <cell r="AM34">
            <v>17</v>
          </cell>
        </row>
        <row r="35">
          <cell r="A35" t="str">
            <v>ANTTP2C4</v>
          </cell>
          <cell r="B35">
            <v>2</v>
          </cell>
          <cell r="C35">
            <v>4</v>
          </cell>
          <cell r="D35" t="str">
            <v>veículos comerciais 2 eixos</v>
          </cell>
          <cell r="G35">
            <v>458</v>
          </cell>
          <cell r="H35">
            <v>473</v>
          </cell>
          <cell r="I35">
            <v>456</v>
          </cell>
          <cell r="J35">
            <v>473</v>
          </cell>
          <cell r="K35">
            <v>490</v>
          </cell>
          <cell r="L35">
            <v>508</v>
          </cell>
          <cell r="M35">
            <v>528</v>
          </cell>
          <cell r="N35">
            <v>548</v>
          </cell>
          <cell r="O35">
            <v>568</v>
          </cell>
          <cell r="P35">
            <v>589</v>
          </cell>
          <cell r="Q35">
            <v>611</v>
          </cell>
          <cell r="R35">
            <v>634</v>
          </cell>
          <cell r="S35">
            <v>657</v>
          </cell>
          <cell r="T35">
            <v>682</v>
          </cell>
          <cell r="U35">
            <v>707</v>
          </cell>
          <cell r="V35">
            <v>732</v>
          </cell>
          <cell r="W35">
            <v>759</v>
          </cell>
          <cell r="X35">
            <v>787</v>
          </cell>
          <cell r="Y35">
            <v>815</v>
          </cell>
          <cell r="Z35">
            <v>845</v>
          </cell>
          <cell r="AA35">
            <v>875</v>
          </cell>
          <cell r="AB35">
            <v>907</v>
          </cell>
          <cell r="AC35">
            <v>939</v>
          </cell>
          <cell r="AD35">
            <v>973</v>
          </cell>
          <cell r="AE35">
            <v>1008</v>
          </cell>
          <cell r="AF35">
            <v>1044</v>
          </cell>
          <cell r="AG35">
            <v>1081</v>
          </cell>
          <cell r="AH35">
            <v>1119</v>
          </cell>
          <cell r="AI35">
            <v>1159</v>
          </cell>
          <cell r="AJ35">
            <v>1200</v>
          </cell>
          <cell r="AK35">
            <v>1243</v>
          </cell>
          <cell r="AL35">
            <v>1286</v>
          </cell>
          <cell r="AM35">
            <v>1329</v>
          </cell>
        </row>
        <row r="36">
          <cell r="A36" t="str">
            <v>ANTTP2C5</v>
          </cell>
          <cell r="B36">
            <v>2</v>
          </cell>
          <cell r="C36">
            <v>5</v>
          </cell>
          <cell r="D36" t="str">
            <v>veículos comerciais 3 eixos</v>
          </cell>
          <cell r="G36">
            <v>441</v>
          </cell>
          <cell r="H36">
            <v>456</v>
          </cell>
          <cell r="I36">
            <v>439</v>
          </cell>
          <cell r="J36">
            <v>455</v>
          </cell>
          <cell r="K36">
            <v>472</v>
          </cell>
          <cell r="L36">
            <v>490</v>
          </cell>
          <cell r="M36">
            <v>507</v>
          </cell>
          <cell r="N36">
            <v>526</v>
          </cell>
          <cell r="O36">
            <v>546</v>
          </cell>
          <cell r="P36">
            <v>566</v>
          </cell>
          <cell r="Q36">
            <v>588</v>
          </cell>
          <cell r="R36">
            <v>610</v>
          </cell>
          <cell r="S36">
            <v>632</v>
          </cell>
          <cell r="T36">
            <v>655</v>
          </cell>
          <cell r="U36">
            <v>679</v>
          </cell>
          <cell r="V36">
            <v>704</v>
          </cell>
          <cell r="W36">
            <v>730</v>
          </cell>
          <cell r="X36">
            <v>756</v>
          </cell>
          <cell r="Y36">
            <v>784</v>
          </cell>
          <cell r="Z36">
            <v>812</v>
          </cell>
          <cell r="AA36">
            <v>841</v>
          </cell>
          <cell r="AB36">
            <v>872</v>
          </cell>
          <cell r="AC36">
            <v>903</v>
          </cell>
          <cell r="AD36">
            <v>935</v>
          </cell>
          <cell r="AE36">
            <v>969</v>
          </cell>
          <cell r="AF36">
            <v>1004</v>
          </cell>
          <cell r="AG36">
            <v>1039</v>
          </cell>
          <cell r="AH36">
            <v>1076</v>
          </cell>
          <cell r="AI36">
            <v>1114</v>
          </cell>
          <cell r="AJ36">
            <v>1154</v>
          </cell>
          <cell r="AK36">
            <v>1195</v>
          </cell>
          <cell r="AL36">
            <v>1236</v>
          </cell>
          <cell r="AM36">
            <v>1277</v>
          </cell>
        </row>
        <row r="37">
          <cell r="A37" t="str">
            <v>ANTTP2C6</v>
          </cell>
          <cell r="B37">
            <v>2</v>
          </cell>
          <cell r="C37">
            <v>6</v>
          </cell>
          <cell r="D37" t="str">
            <v>veículos comerciais 4 eixos</v>
          </cell>
          <cell r="G37">
            <v>281</v>
          </cell>
          <cell r="H37">
            <v>294</v>
          </cell>
          <cell r="I37">
            <v>281</v>
          </cell>
          <cell r="J37">
            <v>295</v>
          </cell>
          <cell r="K37">
            <v>310</v>
          </cell>
          <cell r="L37">
            <v>325</v>
          </cell>
          <cell r="M37">
            <v>260</v>
          </cell>
          <cell r="N37">
            <v>272</v>
          </cell>
          <cell r="O37">
            <v>284</v>
          </cell>
          <cell r="P37">
            <v>296</v>
          </cell>
          <cell r="Q37">
            <v>309</v>
          </cell>
          <cell r="R37">
            <v>323</v>
          </cell>
          <cell r="S37">
            <v>335</v>
          </cell>
          <cell r="T37">
            <v>348</v>
          </cell>
          <cell r="U37">
            <v>361</v>
          </cell>
          <cell r="V37">
            <v>374</v>
          </cell>
          <cell r="W37">
            <v>389</v>
          </cell>
          <cell r="X37">
            <v>403</v>
          </cell>
          <cell r="Y37">
            <v>417</v>
          </cell>
          <cell r="Z37">
            <v>432</v>
          </cell>
          <cell r="AA37">
            <v>448</v>
          </cell>
          <cell r="AB37">
            <v>464</v>
          </cell>
          <cell r="AC37">
            <v>481</v>
          </cell>
          <cell r="AD37">
            <v>498</v>
          </cell>
          <cell r="AE37">
            <v>516</v>
          </cell>
          <cell r="AF37">
            <v>534</v>
          </cell>
          <cell r="AG37">
            <v>553</v>
          </cell>
          <cell r="AH37">
            <v>573</v>
          </cell>
          <cell r="AI37">
            <v>593</v>
          </cell>
          <cell r="AJ37">
            <v>614</v>
          </cell>
          <cell r="AK37">
            <v>636</v>
          </cell>
          <cell r="AL37">
            <v>658</v>
          </cell>
          <cell r="AM37">
            <v>680</v>
          </cell>
        </row>
        <row r="38">
          <cell r="A38" t="str">
            <v>ANTTP2C7</v>
          </cell>
          <cell r="B38">
            <v>2</v>
          </cell>
          <cell r="C38">
            <v>7</v>
          </cell>
          <cell r="D38" t="str">
            <v>caminhões 5 eixos</v>
          </cell>
          <cell r="G38">
            <v>211</v>
          </cell>
          <cell r="H38">
            <v>220</v>
          </cell>
          <cell r="I38">
            <v>211</v>
          </cell>
          <cell r="J38">
            <v>221</v>
          </cell>
          <cell r="K38">
            <v>232</v>
          </cell>
          <cell r="L38">
            <v>244</v>
          </cell>
          <cell r="M38">
            <v>195</v>
          </cell>
          <cell r="N38">
            <v>204</v>
          </cell>
          <cell r="O38">
            <v>213</v>
          </cell>
          <cell r="P38">
            <v>222</v>
          </cell>
          <cell r="Q38">
            <v>232</v>
          </cell>
          <cell r="R38">
            <v>243</v>
          </cell>
          <cell r="S38">
            <v>252</v>
          </cell>
          <cell r="T38">
            <v>261</v>
          </cell>
          <cell r="U38">
            <v>271</v>
          </cell>
          <cell r="V38">
            <v>281</v>
          </cell>
          <cell r="W38">
            <v>292</v>
          </cell>
          <cell r="X38">
            <v>302</v>
          </cell>
          <cell r="Y38">
            <v>313</v>
          </cell>
          <cell r="Z38">
            <v>324</v>
          </cell>
          <cell r="AA38">
            <v>336</v>
          </cell>
          <cell r="AB38">
            <v>348</v>
          </cell>
          <cell r="AC38">
            <v>361</v>
          </cell>
          <cell r="AD38">
            <v>374</v>
          </cell>
          <cell r="AE38">
            <v>387</v>
          </cell>
          <cell r="AF38">
            <v>401</v>
          </cell>
          <cell r="AG38">
            <v>415</v>
          </cell>
          <cell r="AH38">
            <v>430</v>
          </cell>
          <cell r="AI38">
            <v>445</v>
          </cell>
          <cell r="AJ38">
            <v>461</v>
          </cell>
          <cell r="AK38">
            <v>477</v>
          </cell>
          <cell r="AL38">
            <v>493</v>
          </cell>
          <cell r="AM38">
            <v>509</v>
          </cell>
        </row>
        <row r="39">
          <cell r="A39" t="str">
            <v>ANTTP2C8</v>
          </cell>
          <cell r="B39">
            <v>2</v>
          </cell>
          <cell r="C39">
            <v>8</v>
          </cell>
          <cell r="D39" t="str">
            <v>caminhões 6 eixos</v>
          </cell>
          <cell r="G39">
            <v>344</v>
          </cell>
          <cell r="H39">
            <v>359</v>
          </cell>
          <cell r="I39">
            <v>343</v>
          </cell>
          <cell r="J39">
            <v>360</v>
          </cell>
          <cell r="K39">
            <v>377</v>
          </cell>
          <cell r="L39">
            <v>396</v>
          </cell>
          <cell r="M39">
            <v>316</v>
          </cell>
          <cell r="N39">
            <v>330</v>
          </cell>
          <cell r="O39">
            <v>345</v>
          </cell>
          <cell r="P39">
            <v>360</v>
          </cell>
          <cell r="Q39">
            <v>376</v>
          </cell>
          <cell r="R39">
            <v>392</v>
          </cell>
          <cell r="S39">
            <v>407</v>
          </cell>
          <cell r="T39">
            <v>422</v>
          </cell>
          <cell r="U39">
            <v>438</v>
          </cell>
          <cell r="V39">
            <v>455</v>
          </cell>
          <cell r="W39">
            <v>472</v>
          </cell>
          <cell r="X39">
            <v>489</v>
          </cell>
          <cell r="Y39">
            <v>507</v>
          </cell>
          <cell r="Z39">
            <v>525</v>
          </cell>
          <cell r="AA39">
            <v>544</v>
          </cell>
          <cell r="AB39">
            <v>564</v>
          </cell>
          <cell r="AC39">
            <v>584</v>
          </cell>
          <cell r="AD39">
            <v>605</v>
          </cell>
          <cell r="AE39">
            <v>626</v>
          </cell>
          <cell r="AF39">
            <v>649</v>
          </cell>
          <cell r="AG39">
            <v>672</v>
          </cell>
          <cell r="AH39">
            <v>696</v>
          </cell>
          <cell r="AI39">
            <v>721</v>
          </cell>
          <cell r="AJ39">
            <v>746</v>
          </cell>
          <cell r="AK39">
            <v>773</v>
          </cell>
          <cell r="AL39">
            <v>800</v>
          </cell>
          <cell r="AM39">
            <v>827</v>
          </cell>
        </row>
        <row r="40">
          <cell r="A40" t="str">
            <v>ANTTP2C9</v>
          </cell>
          <cell r="B40">
            <v>2</v>
          </cell>
          <cell r="C40">
            <v>9</v>
          </cell>
          <cell r="D40" t="str">
            <v>caminhões 7 eixos</v>
          </cell>
          <cell r="G40">
            <v>173</v>
          </cell>
          <cell r="H40">
            <v>180</v>
          </cell>
          <cell r="I40">
            <v>172</v>
          </cell>
          <cell r="J40">
            <v>181</v>
          </cell>
          <cell r="K40">
            <v>190</v>
          </cell>
          <cell r="L40">
            <v>199</v>
          </cell>
          <cell r="M40">
            <v>153</v>
          </cell>
          <cell r="N40">
            <v>160</v>
          </cell>
          <cell r="O40">
            <v>167</v>
          </cell>
          <cell r="P40">
            <v>174</v>
          </cell>
          <cell r="Q40">
            <v>182</v>
          </cell>
          <cell r="R40">
            <v>190</v>
          </cell>
          <cell r="S40">
            <v>197</v>
          </cell>
          <cell r="T40">
            <v>204</v>
          </cell>
          <cell r="U40">
            <v>212</v>
          </cell>
          <cell r="V40">
            <v>220</v>
          </cell>
          <cell r="W40">
            <v>228</v>
          </cell>
          <cell r="X40">
            <v>237</v>
          </cell>
          <cell r="Y40">
            <v>245</v>
          </cell>
          <cell r="Z40">
            <v>254</v>
          </cell>
          <cell r="AA40">
            <v>263</v>
          </cell>
          <cell r="AB40">
            <v>273</v>
          </cell>
          <cell r="AC40">
            <v>283</v>
          </cell>
          <cell r="AD40">
            <v>293</v>
          </cell>
          <cell r="AE40">
            <v>303</v>
          </cell>
          <cell r="AF40">
            <v>314</v>
          </cell>
          <cell r="AG40">
            <v>325</v>
          </cell>
          <cell r="AH40">
            <v>337</v>
          </cell>
          <cell r="AI40">
            <v>349</v>
          </cell>
          <cell r="AJ40">
            <v>361</v>
          </cell>
          <cell r="AK40">
            <v>374</v>
          </cell>
          <cell r="AL40">
            <v>387</v>
          </cell>
          <cell r="AM40">
            <v>400</v>
          </cell>
        </row>
        <row r="41">
          <cell r="A41" t="str">
            <v>ANTTP2C10</v>
          </cell>
          <cell r="B41">
            <v>2</v>
          </cell>
          <cell r="C41">
            <v>10</v>
          </cell>
          <cell r="D41" t="str">
            <v>caminhões 8 eixos</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row>
        <row r="42">
          <cell r="A42" t="str">
            <v>ANTTP2C11</v>
          </cell>
          <cell r="B42">
            <v>2</v>
          </cell>
          <cell r="C42">
            <v>11</v>
          </cell>
          <cell r="D42" t="str">
            <v>caminhões 9 eixos</v>
          </cell>
          <cell r="G42">
            <v>29</v>
          </cell>
          <cell r="H42">
            <v>30</v>
          </cell>
          <cell r="I42">
            <v>29</v>
          </cell>
          <cell r="J42">
            <v>30</v>
          </cell>
          <cell r="K42">
            <v>32</v>
          </cell>
          <cell r="L42">
            <v>33</v>
          </cell>
          <cell r="M42">
            <v>25</v>
          </cell>
          <cell r="N42">
            <v>27</v>
          </cell>
          <cell r="O42">
            <v>28</v>
          </cell>
          <cell r="P42">
            <v>29</v>
          </cell>
          <cell r="Q42">
            <v>30</v>
          </cell>
          <cell r="R42">
            <v>32</v>
          </cell>
          <cell r="S42">
            <v>33</v>
          </cell>
          <cell r="T42">
            <v>34</v>
          </cell>
          <cell r="U42">
            <v>35</v>
          </cell>
          <cell r="V42">
            <v>37</v>
          </cell>
          <cell r="W42">
            <v>38</v>
          </cell>
          <cell r="X42">
            <v>39</v>
          </cell>
          <cell r="Y42">
            <v>41</v>
          </cell>
          <cell r="Z42">
            <v>42</v>
          </cell>
          <cell r="AA42">
            <v>44</v>
          </cell>
          <cell r="AB42">
            <v>45</v>
          </cell>
          <cell r="AC42">
            <v>47</v>
          </cell>
          <cell r="AD42">
            <v>49</v>
          </cell>
          <cell r="AE42">
            <v>50</v>
          </cell>
          <cell r="AF42">
            <v>52</v>
          </cell>
          <cell r="AG42">
            <v>54</v>
          </cell>
          <cell r="AH42">
            <v>56</v>
          </cell>
          <cell r="AI42">
            <v>58</v>
          </cell>
          <cell r="AJ42">
            <v>60</v>
          </cell>
          <cell r="AK42">
            <v>62</v>
          </cell>
          <cell r="AL42">
            <v>64</v>
          </cell>
          <cell r="AM42">
            <v>66</v>
          </cell>
        </row>
        <row r="43">
          <cell r="A43" t="str">
            <v>ANTTP2C12</v>
          </cell>
          <cell r="B43">
            <v>2</v>
          </cell>
          <cell r="C43">
            <v>12</v>
          </cell>
          <cell r="D43" t="str">
            <v>caminhões 10 ou + eixos</v>
          </cell>
          <cell r="G43">
            <v>3</v>
          </cell>
          <cell r="H43">
            <v>3</v>
          </cell>
          <cell r="I43">
            <v>3</v>
          </cell>
          <cell r="J43">
            <v>3</v>
          </cell>
          <cell r="K43">
            <v>4</v>
          </cell>
          <cell r="L43">
            <v>4</v>
          </cell>
          <cell r="M43">
            <v>3</v>
          </cell>
          <cell r="N43">
            <v>3</v>
          </cell>
          <cell r="O43">
            <v>3</v>
          </cell>
          <cell r="P43">
            <v>3</v>
          </cell>
          <cell r="Q43">
            <v>3</v>
          </cell>
          <cell r="R43">
            <v>4</v>
          </cell>
          <cell r="S43">
            <v>4</v>
          </cell>
          <cell r="T43">
            <v>4</v>
          </cell>
          <cell r="U43">
            <v>4</v>
          </cell>
          <cell r="V43">
            <v>4</v>
          </cell>
          <cell r="W43">
            <v>4</v>
          </cell>
          <cell r="X43">
            <v>4</v>
          </cell>
          <cell r="Y43">
            <v>5</v>
          </cell>
          <cell r="Z43">
            <v>5</v>
          </cell>
          <cell r="AA43">
            <v>5</v>
          </cell>
          <cell r="AB43">
            <v>5</v>
          </cell>
          <cell r="AC43">
            <v>5</v>
          </cell>
          <cell r="AD43">
            <v>5</v>
          </cell>
          <cell r="AE43">
            <v>6</v>
          </cell>
          <cell r="AF43">
            <v>6</v>
          </cell>
          <cell r="AG43">
            <v>6</v>
          </cell>
          <cell r="AH43">
            <v>6</v>
          </cell>
          <cell r="AI43">
            <v>6</v>
          </cell>
          <cell r="AJ43">
            <v>7</v>
          </cell>
          <cell r="AK43">
            <v>7</v>
          </cell>
          <cell r="AL43">
            <v>7</v>
          </cell>
          <cell r="AM43">
            <v>7</v>
          </cell>
        </row>
        <row r="44">
          <cell r="A44" t="str">
            <v>ANTTP2C13</v>
          </cell>
          <cell r="B44">
            <v>2</v>
          </cell>
          <cell r="C44">
            <v>13</v>
          </cell>
          <cell r="D44" t="str">
            <v>motocicletas</v>
          </cell>
          <cell r="G44">
            <v>60</v>
          </cell>
          <cell r="H44">
            <v>63</v>
          </cell>
          <cell r="I44">
            <v>59</v>
          </cell>
          <cell r="J44">
            <v>62</v>
          </cell>
          <cell r="K44">
            <v>64</v>
          </cell>
          <cell r="L44">
            <v>67</v>
          </cell>
          <cell r="M44">
            <v>70</v>
          </cell>
          <cell r="N44">
            <v>73</v>
          </cell>
          <cell r="O44">
            <v>76</v>
          </cell>
          <cell r="P44">
            <v>79</v>
          </cell>
          <cell r="Q44">
            <v>82</v>
          </cell>
          <cell r="R44">
            <v>85</v>
          </cell>
          <cell r="S44">
            <v>89</v>
          </cell>
          <cell r="T44">
            <v>92</v>
          </cell>
          <cell r="U44">
            <v>95</v>
          </cell>
          <cell r="V44">
            <v>99</v>
          </cell>
          <cell r="W44">
            <v>103</v>
          </cell>
          <cell r="X44">
            <v>106</v>
          </cell>
          <cell r="Y44">
            <v>110</v>
          </cell>
          <cell r="Z44">
            <v>114</v>
          </cell>
          <cell r="AA44">
            <v>118</v>
          </cell>
          <cell r="AB44">
            <v>123</v>
          </cell>
          <cell r="AC44">
            <v>127</v>
          </cell>
          <cell r="AD44">
            <v>131</v>
          </cell>
          <cell r="AE44">
            <v>136</v>
          </cell>
          <cell r="AF44">
            <v>141</v>
          </cell>
          <cell r="AG44">
            <v>146</v>
          </cell>
          <cell r="AH44">
            <v>151</v>
          </cell>
          <cell r="AI44">
            <v>157</v>
          </cell>
          <cell r="AJ44">
            <v>162</v>
          </cell>
          <cell r="AK44">
            <v>168</v>
          </cell>
          <cell r="AL44">
            <v>174</v>
          </cell>
          <cell r="AM44">
            <v>180</v>
          </cell>
        </row>
        <row r="45">
          <cell r="D45" t="str">
            <v>Autos+motos</v>
          </cell>
          <cell r="G45">
            <v>2154</v>
          </cell>
          <cell r="H45">
            <v>2231</v>
          </cell>
          <cell r="I45">
            <v>2144</v>
          </cell>
          <cell r="J45">
            <v>2229</v>
          </cell>
          <cell r="K45">
            <v>2316</v>
          </cell>
          <cell r="L45">
            <v>2407</v>
          </cell>
        </row>
        <row r="46">
          <cell r="B46" t="str">
            <v>Praça 3</v>
          </cell>
        </row>
        <row r="47">
          <cell r="B47">
            <v>3</v>
          </cell>
          <cell r="E47" t="str">
            <v>VDMAeq</v>
          </cell>
          <cell r="G47">
            <v>15043</v>
          </cell>
          <cell r="H47">
            <v>15634</v>
          </cell>
          <cell r="I47">
            <v>14277</v>
          </cell>
          <cell r="J47">
            <v>14895</v>
          </cell>
          <cell r="K47">
            <v>15540</v>
          </cell>
          <cell r="L47">
            <v>16214</v>
          </cell>
          <cell r="M47">
            <v>14927</v>
          </cell>
          <cell r="N47">
            <v>15537</v>
          </cell>
          <cell r="O47">
            <v>16173</v>
          </cell>
          <cell r="P47">
            <v>16835</v>
          </cell>
          <cell r="Q47">
            <v>17525</v>
          </cell>
          <cell r="R47">
            <v>18242</v>
          </cell>
          <cell r="S47">
            <v>18920</v>
          </cell>
          <cell r="T47">
            <v>19622</v>
          </cell>
          <cell r="U47">
            <v>20351</v>
          </cell>
          <cell r="V47">
            <v>21107</v>
          </cell>
          <cell r="W47">
            <v>21891</v>
          </cell>
          <cell r="X47">
            <v>22683</v>
          </cell>
          <cell r="Y47">
            <v>23504</v>
          </cell>
          <cell r="Z47">
            <v>24355</v>
          </cell>
          <cell r="AA47">
            <v>25236</v>
          </cell>
          <cell r="AB47">
            <v>26150</v>
          </cell>
          <cell r="AC47">
            <v>27086</v>
          </cell>
          <cell r="AD47">
            <v>28055</v>
          </cell>
          <cell r="AE47">
            <v>29059</v>
          </cell>
          <cell r="AF47">
            <v>30098</v>
          </cell>
          <cell r="AG47">
            <v>31175</v>
          </cell>
          <cell r="AH47">
            <v>32280</v>
          </cell>
          <cell r="AI47">
            <v>33424</v>
          </cell>
          <cell r="AJ47">
            <v>34609</v>
          </cell>
          <cell r="AK47">
            <v>35835</v>
          </cell>
          <cell r="AL47">
            <v>37061</v>
          </cell>
          <cell r="AM47">
            <v>38287</v>
          </cell>
        </row>
        <row r="48">
          <cell r="B48" t="str">
            <v>Praça</v>
          </cell>
          <cell r="C48" t="str">
            <v xml:space="preserve"> Categoria de veículo</v>
          </cell>
          <cell r="E48" t="str">
            <v>VDMA</v>
          </cell>
          <cell r="G48">
            <v>6523</v>
          </cell>
          <cell r="H48">
            <v>6758</v>
          </cell>
          <cell r="I48">
            <v>6370</v>
          </cell>
          <cell r="J48">
            <v>6624</v>
          </cell>
          <cell r="K48">
            <v>6889</v>
          </cell>
          <cell r="L48">
            <v>7164</v>
          </cell>
          <cell r="M48">
            <v>7087</v>
          </cell>
          <cell r="N48">
            <v>7365</v>
          </cell>
          <cell r="O48">
            <v>7655</v>
          </cell>
          <cell r="P48">
            <v>7955</v>
          </cell>
          <cell r="Q48">
            <v>8268</v>
          </cell>
          <cell r="R48">
            <v>8593</v>
          </cell>
          <cell r="S48">
            <v>8910</v>
          </cell>
          <cell r="T48">
            <v>9239</v>
          </cell>
          <cell r="U48">
            <v>9581</v>
          </cell>
          <cell r="V48">
            <v>9935</v>
          </cell>
          <cell r="W48">
            <v>10301</v>
          </cell>
          <cell r="X48">
            <v>10674</v>
          </cell>
          <cell r="Y48">
            <v>11060</v>
          </cell>
          <cell r="Z48">
            <v>11461</v>
          </cell>
          <cell r="AA48">
            <v>11875</v>
          </cell>
          <cell r="AB48">
            <v>12305</v>
          </cell>
          <cell r="AC48">
            <v>12745</v>
          </cell>
          <cell r="AD48">
            <v>13201</v>
          </cell>
          <cell r="AE48">
            <v>13674</v>
          </cell>
          <cell r="AF48">
            <v>14163</v>
          </cell>
          <cell r="AG48">
            <v>14670</v>
          </cell>
          <cell r="AH48">
            <v>15190</v>
          </cell>
          <cell r="AI48">
            <v>15728</v>
          </cell>
          <cell r="AJ48">
            <v>16285</v>
          </cell>
          <cell r="AK48">
            <v>16862</v>
          </cell>
          <cell r="AL48">
            <v>17439</v>
          </cell>
          <cell r="AM48">
            <v>18016</v>
          </cell>
        </row>
        <row r="49">
          <cell r="A49" t="str">
            <v>ANTTP3C1</v>
          </cell>
          <cell r="B49">
            <v>3</v>
          </cell>
          <cell r="C49">
            <v>1</v>
          </cell>
          <cell r="D49" t="str">
            <v>automóveis</v>
          </cell>
          <cell r="G49">
            <v>3707</v>
          </cell>
          <cell r="H49">
            <v>3831</v>
          </cell>
          <cell r="I49">
            <v>3746</v>
          </cell>
          <cell r="J49">
            <v>3886</v>
          </cell>
          <cell r="K49">
            <v>4032</v>
          </cell>
          <cell r="L49">
            <v>4183</v>
          </cell>
          <cell r="M49">
            <v>4340</v>
          </cell>
          <cell r="N49">
            <v>4507</v>
          </cell>
          <cell r="O49">
            <v>4680</v>
          </cell>
          <cell r="P49">
            <v>4859</v>
          </cell>
          <cell r="Q49">
            <v>5046</v>
          </cell>
          <cell r="R49">
            <v>5239</v>
          </cell>
          <cell r="S49">
            <v>5432</v>
          </cell>
          <cell r="T49">
            <v>5632</v>
          </cell>
          <cell r="U49">
            <v>5839</v>
          </cell>
          <cell r="V49">
            <v>6054</v>
          </cell>
          <cell r="W49">
            <v>6277</v>
          </cell>
          <cell r="X49">
            <v>6504</v>
          </cell>
          <cell r="Y49">
            <v>6740</v>
          </cell>
          <cell r="Z49">
            <v>6984</v>
          </cell>
          <cell r="AA49">
            <v>7236</v>
          </cell>
          <cell r="AB49">
            <v>7498</v>
          </cell>
          <cell r="AC49">
            <v>7766</v>
          </cell>
          <cell r="AD49">
            <v>8044</v>
          </cell>
          <cell r="AE49">
            <v>8332</v>
          </cell>
          <cell r="AF49">
            <v>8630</v>
          </cell>
          <cell r="AG49">
            <v>8939</v>
          </cell>
          <cell r="AH49">
            <v>9256</v>
          </cell>
          <cell r="AI49">
            <v>9584</v>
          </cell>
          <cell r="AJ49">
            <v>9923</v>
          </cell>
          <cell r="AK49">
            <v>10275</v>
          </cell>
          <cell r="AL49">
            <v>10627</v>
          </cell>
          <cell r="AM49">
            <v>10979</v>
          </cell>
        </row>
        <row r="50">
          <cell r="A50" t="str">
            <v>ANTTP3C2</v>
          </cell>
          <cell r="B50">
            <v>3</v>
          </cell>
          <cell r="C50">
            <v>2</v>
          </cell>
          <cell r="D50" t="str">
            <v>automóveis+semi-reboques</v>
          </cell>
          <cell r="G50">
            <v>45</v>
          </cell>
          <cell r="H50">
            <v>46</v>
          </cell>
          <cell r="I50">
            <v>45</v>
          </cell>
          <cell r="J50">
            <v>47</v>
          </cell>
          <cell r="K50">
            <v>49</v>
          </cell>
          <cell r="L50">
            <v>50</v>
          </cell>
          <cell r="M50">
            <v>52</v>
          </cell>
          <cell r="N50">
            <v>54</v>
          </cell>
          <cell r="O50">
            <v>56</v>
          </cell>
          <cell r="P50">
            <v>59</v>
          </cell>
          <cell r="Q50">
            <v>61</v>
          </cell>
          <cell r="R50">
            <v>63</v>
          </cell>
          <cell r="S50">
            <v>65</v>
          </cell>
          <cell r="T50">
            <v>68</v>
          </cell>
          <cell r="U50">
            <v>70</v>
          </cell>
          <cell r="V50">
            <v>73</v>
          </cell>
          <cell r="W50">
            <v>76</v>
          </cell>
          <cell r="X50">
            <v>78</v>
          </cell>
          <cell r="Y50">
            <v>81</v>
          </cell>
          <cell r="Z50">
            <v>84</v>
          </cell>
          <cell r="AA50">
            <v>87</v>
          </cell>
          <cell r="AB50">
            <v>90</v>
          </cell>
          <cell r="AC50">
            <v>94</v>
          </cell>
          <cell r="AD50">
            <v>97</v>
          </cell>
          <cell r="AE50">
            <v>100</v>
          </cell>
          <cell r="AF50">
            <v>104</v>
          </cell>
          <cell r="AG50">
            <v>108</v>
          </cell>
          <cell r="AH50">
            <v>111</v>
          </cell>
          <cell r="AI50">
            <v>115</v>
          </cell>
          <cell r="AJ50">
            <v>120</v>
          </cell>
          <cell r="AK50">
            <v>124</v>
          </cell>
          <cell r="AL50">
            <v>128</v>
          </cell>
          <cell r="AM50">
            <v>132</v>
          </cell>
        </row>
        <row r="51">
          <cell r="A51" t="str">
            <v>ANTTP3C3</v>
          </cell>
          <cell r="B51">
            <v>3</v>
          </cell>
          <cell r="C51">
            <v>3</v>
          </cell>
          <cell r="D51" t="str">
            <v>automóveis+reboques</v>
          </cell>
          <cell r="G51">
            <v>11</v>
          </cell>
          <cell r="H51">
            <v>12</v>
          </cell>
          <cell r="I51">
            <v>11</v>
          </cell>
          <cell r="J51">
            <v>12</v>
          </cell>
          <cell r="K51">
            <v>12</v>
          </cell>
          <cell r="L51">
            <v>13</v>
          </cell>
          <cell r="M51">
            <v>13</v>
          </cell>
          <cell r="N51">
            <v>14</v>
          </cell>
          <cell r="O51">
            <v>14</v>
          </cell>
          <cell r="P51">
            <v>15</v>
          </cell>
          <cell r="Q51">
            <v>15</v>
          </cell>
          <cell r="R51">
            <v>16</v>
          </cell>
          <cell r="S51">
            <v>16</v>
          </cell>
          <cell r="T51">
            <v>17</v>
          </cell>
          <cell r="U51">
            <v>18</v>
          </cell>
          <cell r="V51">
            <v>18</v>
          </cell>
          <cell r="W51">
            <v>19</v>
          </cell>
          <cell r="X51">
            <v>20</v>
          </cell>
          <cell r="Y51">
            <v>20</v>
          </cell>
          <cell r="Z51">
            <v>21</v>
          </cell>
          <cell r="AA51">
            <v>22</v>
          </cell>
          <cell r="AB51">
            <v>23</v>
          </cell>
          <cell r="AC51">
            <v>23</v>
          </cell>
          <cell r="AD51">
            <v>24</v>
          </cell>
          <cell r="AE51">
            <v>25</v>
          </cell>
          <cell r="AF51">
            <v>26</v>
          </cell>
          <cell r="AG51">
            <v>27</v>
          </cell>
          <cell r="AH51">
            <v>28</v>
          </cell>
          <cell r="AI51">
            <v>29</v>
          </cell>
          <cell r="AJ51">
            <v>30</v>
          </cell>
          <cell r="AK51">
            <v>31</v>
          </cell>
          <cell r="AL51">
            <v>32</v>
          </cell>
          <cell r="AM51">
            <v>33</v>
          </cell>
        </row>
        <row r="52">
          <cell r="A52" t="str">
            <v>ANTTP3C4</v>
          </cell>
          <cell r="B52">
            <v>3</v>
          </cell>
          <cell r="C52">
            <v>4</v>
          </cell>
          <cell r="D52" t="str">
            <v>veículos comerciais 2 eixos</v>
          </cell>
          <cell r="G52">
            <v>652</v>
          </cell>
          <cell r="H52">
            <v>675</v>
          </cell>
          <cell r="I52">
            <v>612</v>
          </cell>
          <cell r="J52">
            <v>635</v>
          </cell>
          <cell r="K52">
            <v>660</v>
          </cell>
          <cell r="L52">
            <v>685</v>
          </cell>
          <cell r="M52">
            <v>712</v>
          </cell>
          <cell r="N52">
            <v>738</v>
          </cell>
          <cell r="O52">
            <v>766</v>
          </cell>
          <cell r="P52">
            <v>795</v>
          </cell>
          <cell r="Q52">
            <v>825</v>
          </cell>
          <cell r="R52">
            <v>856</v>
          </cell>
          <cell r="S52">
            <v>888</v>
          </cell>
          <cell r="T52">
            <v>920</v>
          </cell>
          <cell r="U52">
            <v>954</v>
          </cell>
          <cell r="V52">
            <v>989</v>
          </cell>
          <cell r="W52">
            <v>1025</v>
          </cell>
          <cell r="X52">
            <v>1063</v>
          </cell>
          <cell r="Y52">
            <v>1101</v>
          </cell>
          <cell r="Z52">
            <v>1141</v>
          </cell>
          <cell r="AA52">
            <v>1182</v>
          </cell>
          <cell r="AB52">
            <v>1225</v>
          </cell>
          <cell r="AC52">
            <v>1269</v>
          </cell>
          <cell r="AD52">
            <v>1314</v>
          </cell>
          <cell r="AE52">
            <v>1361</v>
          </cell>
          <cell r="AF52">
            <v>1410</v>
          </cell>
          <cell r="AG52">
            <v>1460</v>
          </cell>
          <cell r="AH52">
            <v>1512</v>
          </cell>
          <cell r="AI52">
            <v>1566</v>
          </cell>
          <cell r="AJ52">
            <v>1621</v>
          </cell>
          <cell r="AK52">
            <v>1678</v>
          </cell>
          <cell r="AL52">
            <v>1735</v>
          </cell>
          <cell r="AM52">
            <v>1792</v>
          </cell>
        </row>
        <row r="53">
          <cell r="A53" t="str">
            <v>ANTTP3C5</v>
          </cell>
          <cell r="B53">
            <v>3</v>
          </cell>
          <cell r="C53">
            <v>5</v>
          </cell>
          <cell r="D53" t="str">
            <v>veículos comerciais 3 eixos</v>
          </cell>
          <cell r="G53">
            <v>525</v>
          </cell>
          <cell r="H53">
            <v>543</v>
          </cell>
          <cell r="I53">
            <v>491</v>
          </cell>
          <cell r="J53">
            <v>509</v>
          </cell>
          <cell r="K53">
            <v>527</v>
          </cell>
          <cell r="L53">
            <v>546</v>
          </cell>
          <cell r="M53">
            <v>565</v>
          </cell>
          <cell r="N53">
            <v>586</v>
          </cell>
          <cell r="O53">
            <v>608</v>
          </cell>
          <cell r="P53">
            <v>630</v>
          </cell>
          <cell r="Q53">
            <v>654</v>
          </cell>
          <cell r="R53">
            <v>678</v>
          </cell>
          <cell r="S53">
            <v>703</v>
          </cell>
          <cell r="T53">
            <v>729</v>
          </cell>
          <cell r="U53">
            <v>755</v>
          </cell>
          <cell r="V53">
            <v>783</v>
          </cell>
          <cell r="W53">
            <v>812</v>
          </cell>
          <cell r="X53">
            <v>841</v>
          </cell>
          <cell r="Y53">
            <v>871</v>
          </cell>
          <cell r="Z53">
            <v>903</v>
          </cell>
          <cell r="AA53">
            <v>936</v>
          </cell>
          <cell r="AB53">
            <v>970</v>
          </cell>
          <cell r="AC53">
            <v>1004</v>
          </cell>
          <cell r="AD53">
            <v>1040</v>
          </cell>
          <cell r="AE53">
            <v>1077</v>
          </cell>
          <cell r="AF53">
            <v>1116</v>
          </cell>
          <cell r="AG53">
            <v>1156</v>
          </cell>
          <cell r="AH53">
            <v>1197</v>
          </cell>
          <cell r="AI53">
            <v>1239</v>
          </cell>
          <cell r="AJ53">
            <v>1283</v>
          </cell>
          <cell r="AK53">
            <v>1329</v>
          </cell>
          <cell r="AL53">
            <v>1375</v>
          </cell>
          <cell r="AM53">
            <v>1421</v>
          </cell>
        </row>
        <row r="54">
          <cell r="A54" t="str">
            <v>ANTTP3C6</v>
          </cell>
          <cell r="B54">
            <v>3</v>
          </cell>
          <cell r="C54">
            <v>6</v>
          </cell>
          <cell r="D54" t="str">
            <v>veículos comerciais 4 eixos</v>
          </cell>
          <cell r="G54">
            <v>422</v>
          </cell>
          <cell r="H54">
            <v>441</v>
          </cell>
          <cell r="I54">
            <v>391</v>
          </cell>
          <cell r="J54">
            <v>410</v>
          </cell>
          <cell r="K54">
            <v>430</v>
          </cell>
          <cell r="L54">
            <v>451</v>
          </cell>
          <cell r="M54">
            <v>375</v>
          </cell>
          <cell r="N54">
            <v>391</v>
          </cell>
          <cell r="O54">
            <v>408</v>
          </cell>
          <cell r="P54">
            <v>426</v>
          </cell>
          <cell r="Q54">
            <v>445</v>
          </cell>
          <cell r="R54">
            <v>465</v>
          </cell>
          <cell r="S54">
            <v>482</v>
          </cell>
          <cell r="T54">
            <v>500</v>
          </cell>
          <cell r="U54">
            <v>519</v>
          </cell>
          <cell r="V54">
            <v>538</v>
          </cell>
          <cell r="W54">
            <v>559</v>
          </cell>
          <cell r="X54">
            <v>579</v>
          </cell>
          <cell r="Y54">
            <v>600</v>
          </cell>
          <cell r="Z54">
            <v>621</v>
          </cell>
          <cell r="AA54">
            <v>644</v>
          </cell>
          <cell r="AB54">
            <v>667</v>
          </cell>
          <cell r="AC54">
            <v>691</v>
          </cell>
          <cell r="AD54">
            <v>716</v>
          </cell>
          <cell r="AE54">
            <v>741</v>
          </cell>
          <cell r="AF54">
            <v>768</v>
          </cell>
          <cell r="AG54">
            <v>795</v>
          </cell>
          <cell r="AH54">
            <v>824</v>
          </cell>
          <cell r="AI54">
            <v>853</v>
          </cell>
          <cell r="AJ54">
            <v>883</v>
          </cell>
          <cell r="AK54">
            <v>914</v>
          </cell>
          <cell r="AL54">
            <v>945</v>
          </cell>
          <cell r="AM54">
            <v>976</v>
          </cell>
        </row>
        <row r="55">
          <cell r="A55" t="str">
            <v>ANTTP3C7</v>
          </cell>
          <cell r="B55">
            <v>3</v>
          </cell>
          <cell r="C55">
            <v>7</v>
          </cell>
          <cell r="D55" t="str">
            <v>caminhões 5 eixos</v>
          </cell>
          <cell r="G55">
            <v>317</v>
          </cell>
          <cell r="H55">
            <v>331</v>
          </cell>
          <cell r="I55">
            <v>294</v>
          </cell>
          <cell r="J55">
            <v>308</v>
          </cell>
          <cell r="K55">
            <v>323</v>
          </cell>
          <cell r="L55">
            <v>339</v>
          </cell>
          <cell r="M55">
            <v>281</v>
          </cell>
          <cell r="N55">
            <v>293</v>
          </cell>
          <cell r="O55">
            <v>306</v>
          </cell>
          <cell r="P55">
            <v>320</v>
          </cell>
          <cell r="Q55">
            <v>334</v>
          </cell>
          <cell r="R55">
            <v>349</v>
          </cell>
          <cell r="S55">
            <v>362</v>
          </cell>
          <cell r="T55">
            <v>375</v>
          </cell>
          <cell r="U55">
            <v>389</v>
          </cell>
          <cell r="V55">
            <v>404</v>
          </cell>
          <cell r="W55">
            <v>419</v>
          </cell>
          <cell r="X55">
            <v>434</v>
          </cell>
          <cell r="Y55">
            <v>450</v>
          </cell>
          <cell r="Z55">
            <v>466</v>
          </cell>
          <cell r="AA55">
            <v>483</v>
          </cell>
          <cell r="AB55">
            <v>501</v>
          </cell>
          <cell r="AC55">
            <v>519</v>
          </cell>
          <cell r="AD55">
            <v>537</v>
          </cell>
          <cell r="AE55">
            <v>556</v>
          </cell>
          <cell r="AF55">
            <v>576</v>
          </cell>
          <cell r="AG55">
            <v>597</v>
          </cell>
          <cell r="AH55">
            <v>618</v>
          </cell>
          <cell r="AI55">
            <v>640</v>
          </cell>
          <cell r="AJ55">
            <v>663</v>
          </cell>
          <cell r="AK55">
            <v>686</v>
          </cell>
          <cell r="AL55">
            <v>709</v>
          </cell>
          <cell r="AM55">
            <v>732</v>
          </cell>
        </row>
        <row r="56">
          <cell r="A56" t="str">
            <v>ANTTP3C8</v>
          </cell>
          <cell r="B56">
            <v>3</v>
          </cell>
          <cell r="C56">
            <v>8</v>
          </cell>
          <cell r="D56" t="str">
            <v>caminhões 6 eixos</v>
          </cell>
          <cell r="G56">
            <v>460</v>
          </cell>
          <cell r="H56">
            <v>480</v>
          </cell>
          <cell r="I56">
            <v>425</v>
          </cell>
          <cell r="J56">
            <v>446</v>
          </cell>
          <cell r="K56">
            <v>467</v>
          </cell>
          <cell r="L56">
            <v>490</v>
          </cell>
          <cell r="M56">
            <v>388</v>
          </cell>
          <cell r="N56">
            <v>405</v>
          </cell>
          <cell r="O56">
            <v>423</v>
          </cell>
          <cell r="P56">
            <v>442</v>
          </cell>
          <cell r="Q56">
            <v>461</v>
          </cell>
          <cell r="R56">
            <v>482</v>
          </cell>
          <cell r="S56">
            <v>500</v>
          </cell>
          <cell r="T56">
            <v>518</v>
          </cell>
          <cell r="U56">
            <v>538</v>
          </cell>
          <cell r="V56">
            <v>558</v>
          </cell>
          <cell r="W56">
            <v>579</v>
          </cell>
          <cell r="X56">
            <v>600</v>
          </cell>
          <cell r="Y56">
            <v>622</v>
          </cell>
          <cell r="Z56">
            <v>644</v>
          </cell>
          <cell r="AA56">
            <v>667</v>
          </cell>
          <cell r="AB56">
            <v>692</v>
          </cell>
          <cell r="AC56">
            <v>716</v>
          </cell>
          <cell r="AD56">
            <v>742</v>
          </cell>
          <cell r="AE56">
            <v>769</v>
          </cell>
          <cell r="AF56">
            <v>796</v>
          </cell>
          <cell r="AG56">
            <v>824</v>
          </cell>
          <cell r="AH56">
            <v>854</v>
          </cell>
          <cell r="AI56">
            <v>884</v>
          </cell>
          <cell r="AJ56">
            <v>915</v>
          </cell>
          <cell r="AK56">
            <v>948</v>
          </cell>
          <cell r="AL56">
            <v>981</v>
          </cell>
          <cell r="AM56">
            <v>1014</v>
          </cell>
        </row>
        <row r="57">
          <cell r="A57" t="str">
            <v>ANTTP3C9</v>
          </cell>
          <cell r="B57">
            <v>3</v>
          </cell>
          <cell r="C57">
            <v>9</v>
          </cell>
          <cell r="D57" t="str">
            <v>caminhões 7 eixos</v>
          </cell>
          <cell r="G57">
            <v>265</v>
          </cell>
          <cell r="H57">
            <v>276</v>
          </cell>
          <cell r="I57">
            <v>245</v>
          </cell>
          <cell r="J57">
            <v>257</v>
          </cell>
          <cell r="K57">
            <v>269</v>
          </cell>
          <cell r="L57">
            <v>282</v>
          </cell>
          <cell r="M57">
            <v>241</v>
          </cell>
          <cell r="N57">
            <v>252</v>
          </cell>
          <cell r="O57">
            <v>263</v>
          </cell>
          <cell r="P57">
            <v>274</v>
          </cell>
          <cell r="Q57">
            <v>286</v>
          </cell>
          <cell r="R57">
            <v>299</v>
          </cell>
          <cell r="S57">
            <v>310</v>
          </cell>
          <cell r="T57">
            <v>322</v>
          </cell>
          <cell r="U57">
            <v>334</v>
          </cell>
          <cell r="V57">
            <v>346</v>
          </cell>
          <cell r="W57">
            <v>359</v>
          </cell>
          <cell r="X57">
            <v>372</v>
          </cell>
          <cell r="Y57">
            <v>386</v>
          </cell>
          <cell r="Z57">
            <v>400</v>
          </cell>
          <cell r="AA57">
            <v>414</v>
          </cell>
          <cell r="AB57">
            <v>429</v>
          </cell>
          <cell r="AC57">
            <v>444</v>
          </cell>
          <cell r="AD57">
            <v>460</v>
          </cell>
          <cell r="AE57">
            <v>477</v>
          </cell>
          <cell r="AF57">
            <v>494</v>
          </cell>
          <cell r="AG57">
            <v>512</v>
          </cell>
          <cell r="AH57">
            <v>530</v>
          </cell>
          <cell r="AI57">
            <v>549</v>
          </cell>
          <cell r="AJ57">
            <v>568</v>
          </cell>
          <cell r="AK57">
            <v>588</v>
          </cell>
          <cell r="AL57">
            <v>608</v>
          </cell>
          <cell r="AM57">
            <v>628</v>
          </cell>
        </row>
        <row r="58">
          <cell r="A58" t="str">
            <v>ANTTP3C10</v>
          </cell>
          <cell r="B58">
            <v>3</v>
          </cell>
          <cell r="C58">
            <v>10</v>
          </cell>
          <cell r="D58" t="str">
            <v>caminhões 8 eixos</v>
          </cell>
          <cell r="G58">
            <v>0</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row>
        <row r="59">
          <cell r="A59" t="str">
            <v>ANTTP3C11</v>
          </cell>
          <cell r="B59">
            <v>3</v>
          </cell>
          <cell r="C59">
            <v>11</v>
          </cell>
          <cell r="D59" t="str">
            <v>caminhões 9 eixos</v>
          </cell>
          <cell r="G59">
            <v>44</v>
          </cell>
          <cell r="H59">
            <v>46</v>
          </cell>
          <cell r="I59">
            <v>41</v>
          </cell>
          <cell r="J59">
            <v>43</v>
          </cell>
          <cell r="K59">
            <v>45</v>
          </cell>
          <cell r="L59">
            <v>47</v>
          </cell>
          <cell r="M59">
            <v>40</v>
          </cell>
          <cell r="N59">
            <v>42</v>
          </cell>
          <cell r="O59">
            <v>44</v>
          </cell>
          <cell r="P59">
            <v>46</v>
          </cell>
          <cell r="Q59">
            <v>48</v>
          </cell>
          <cell r="R59">
            <v>50</v>
          </cell>
          <cell r="S59">
            <v>52</v>
          </cell>
          <cell r="T59">
            <v>53</v>
          </cell>
          <cell r="U59">
            <v>55</v>
          </cell>
          <cell r="V59">
            <v>58</v>
          </cell>
          <cell r="W59">
            <v>60</v>
          </cell>
          <cell r="X59">
            <v>62</v>
          </cell>
          <cell r="Y59">
            <v>64</v>
          </cell>
          <cell r="Z59">
            <v>66</v>
          </cell>
          <cell r="AA59">
            <v>69</v>
          </cell>
          <cell r="AB59">
            <v>71</v>
          </cell>
          <cell r="AC59">
            <v>74</v>
          </cell>
          <cell r="AD59">
            <v>77</v>
          </cell>
          <cell r="AE59">
            <v>79</v>
          </cell>
          <cell r="AF59">
            <v>82</v>
          </cell>
          <cell r="AG59">
            <v>85</v>
          </cell>
          <cell r="AH59">
            <v>88</v>
          </cell>
          <cell r="AI59">
            <v>91</v>
          </cell>
          <cell r="AJ59">
            <v>94</v>
          </cell>
          <cell r="AK59">
            <v>98</v>
          </cell>
          <cell r="AL59">
            <v>102</v>
          </cell>
          <cell r="AM59">
            <v>106</v>
          </cell>
        </row>
        <row r="60">
          <cell r="A60" t="str">
            <v>ANTTP3C12</v>
          </cell>
          <cell r="B60">
            <v>3</v>
          </cell>
          <cell r="C60">
            <v>12</v>
          </cell>
          <cell r="D60" t="str">
            <v>caminhões 10 ou + eixos</v>
          </cell>
          <cell r="G60">
            <v>5</v>
          </cell>
          <cell r="H60">
            <v>5</v>
          </cell>
          <cell r="I60">
            <v>5</v>
          </cell>
          <cell r="J60">
            <v>5</v>
          </cell>
          <cell r="K60">
            <v>5</v>
          </cell>
          <cell r="L60">
            <v>5</v>
          </cell>
          <cell r="M60">
            <v>4</v>
          </cell>
          <cell r="N60">
            <v>5</v>
          </cell>
          <cell r="O60">
            <v>5</v>
          </cell>
          <cell r="P60">
            <v>5</v>
          </cell>
          <cell r="Q60">
            <v>5</v>
          </cell>
          <cell r="R60">
            <v>6</v>
          </cell>
          <cell r="S60">
            <v>6</v>
          </cell>
          <cell r="T60">
            <v>6</v>
          </cell>
          <cell r="U60">
            <v>6</v>
          </cell>
          <cell r="V60">
            <v>6</v>
          </cell>
          <cell r="W60">
            <v>7</v>
          </cell>
          <cell r="X60">
            <v>7</v>
          </cell>
          <cell r="Y60">
            <v>7</v>
          </cell>
          <cell r="Z60">
            <v>7</v>
          </cell>
          <cell r="AA60">
            <v>8</v>
          </cell>
          <cell r="AB60">
            <v>8</v>
          </cell>
          <cell r="AC60">
            <v>8</v>
          </cell>
          <cell r="AD60">
            <v>9</v>
          </cell>
          <cell r="AE60">
            <v>9</v>
          </cell>
          <cell r="AF60">
            <v>9</v>
          </cell>
          <cell r="AG60">
            <v>9</v>
          </cell>
          <cell r="AH60">
            <v>10</v>
          </cell>
          <cell r="AI60">
            <v>10</v>
          </cell>
          <cell r="AJ60">
            <v>10</v>
          </cell>
          <cell r="AK60">
            <v>11</v>
          </cell>
          <cell r="AL60">
            <v>12</v>
          </cell>
          <cell r="AM60">
            <v>13</v>
          </cell>
        </row>
        <row r="61">
          <cell r="A61" t="str">
            <v>ANTTP3C13</v>
          </cell>
          <cell r="B61">
            <v>3</v>
          </cell>
          <cell r="C61">
            <v>13</v>
          </cell>
          <cell r="D61" t="str">
            <v>motocicletas</v>
          </cell>
          <cell r="G61">
            <v>70</v>
          </cell>
          <cell r="H61">
            <v>73</v>
          </cell>
          <cell r="I61">
            <v>64</v>
          </cell>
          <cell r="J61">
            <v>67</v>
          </cell>
          <cell r="K61">
            <v>70</v>
          </cell>
          <cell r="L61">
            <v>72</v>
          </cell>
          <cell r="M61">
            <v>75</v>
          </cell>
          <cell r="N61">
            <v>78</v>
          </cell>
          <cell r="O61">
            <v>82</v>
          </cell>
          <cell r="P61">
            <v>85</v>
          </cell>
          <cell r="Q61">
            <v>88</v>
          </cell>
          <cell r="R61">
            <v>92</v>
          </cell>
          <cell r="S61">
            <v>95</v>
          </cell>
          <cell r="T61">
            <v>99</v>
          </cell>
          <cell r="U61">
            <v>103</v>
          </cell>
          <cell r="V61">
            <v>106</v>
          </cell>
          <cell r="W61">
            <v>110</v>
          </cell>
          <cell r="X61">
            <v>114</v>
          </cell>
          <cell r="Y61">
            <v>118</v>
          </cell>
          <cell r="Z61">
            <v>123</v>
          </cell>
          <cell r="AA61">
            <v>127</v>
          </cell>
          <cell r="AB61">
            <v>132</v>
          </cell>
          <cell r="AC61">
            <v>137</v>
          </cell>
          <cell r="AD61">
            <v>141</v>
          </cell>
          <cell r="AE61">
            <v>147</v>
          </cell>
          <cell r="AF61">
            <v>152</v>
          </cell>
          <cell r="AG61">
            <v>157</v>
          </cell>
          <cell r="AH61">
            <v>163</v>
          </cell>
          <cell r="AI61">
            <v>169</v>
          </cell>
          <cell r="AJ61">
            <v>174</v>
          </cell>
          <cell r="AK61">
            <v>181</v>
          </cell>
          <cell r="AL61">
            <v>188</v>
          </cell>
          <cell r="AM61">
            <v>195</v>
          </cell>
        </row>
        <row r="62">
          <cell r="D62" t="str">
            <v>Autos+motos</v>
          </cell>
          <cell r="G62">
            <v>3833</v>
          </cell>
          <cell r="H62">
            <v>3962</v>
          </cell>
          <cell r="I62">
            <v>3866</v>
          </cell>
          <cell r="J62">
            <v>4012</v>
          </cell>
          <cell r="K62">
            <v>4163</v>
          </cell>
          <cell r="L62">
            <v>4318</v>
          </cell>
        </row>
        <row r="63">
          <cell r="B63" t="str">
            <v>Praça 4</v>
          </cell>
        </row>
        <row r="64">
          <cell r="B64">
            <v>4</v>
          </cell>
          <cell r="E64" t="str">
            <v>VDMAeq</v>
          </cell>
          <cell r="G64">
            <v>30457</v>
          </cell>
          <cell r="H64">
            <v>31561</v>
          </cell>
          <cell r="I64">
            <v>31494</v>
          </cell>
          <cell r="J64">
            <v>32778</v>
          </cell>
          <cell r="K64">
            <v>34115</v>
          </cell>
          <cell r="L64">
            <v>35508</v>
          </cell>
          <cell r="M64">
            <v>34265</v>
          </cell>
          <cell r="N64">
            <v>35643</v>
          </cell>
          <cell r="O64">
            <v>37077</v>
          </cell>
          <cell r="P64">
            <v>38568</v>
          </cell>
          <cell r="Q64">
            <v>40120</v>
          </cell>
          <cell r="R64">
            <v>41735</v>
          </cell>
          <cell r="S64">
            <v>43282</v>
          </cell>
          <cell r="T64">
            <v>44887</v>
          </cell>
          <cell r="U64">
            <v>46552</v>
          </cell>
          <cell r="V64">
            <v>48279</v>
          </cell>
          <cell r="W64">
            <v>50069</v>
          </cell>
          <cell r="X64">
            <v>51881</v>
          </cell>
          <cell r="Y64">
            <v>53759</v>
          </cell>
          <cell r="Z64">
            <v>55704</v>
          </cell>
          <cell r="AA64">
            <v>57720</v>
          </cell>
          <cell r="AB64">
            <v>59809</v>
          </cell>
          <cell r="AC64">
            <v>61949</v>
          </cell>
          <cell r="AD64">
            <v>64166</v>
          </cell>
          <cell r="AE64">
            <v>66462</v>
          </cell>
          <cell r="AF64">
            <v>68840</v>
          </cell>
          <cell r="AG64">
            <v>71303</v>
          </cell>
          <cell r="AH64">
            <v>73830</v>
          </cell>
          <cell r="AI64">
            <v>76447</v>
          </cell>
          <cell r="AJ64">
            <v>79156</v>
          </cell>
          <cell r="AK64">
            <v>81961</v>
          </cell>
          <cell r="AL64">
            <v>84766</v>
          </cell>
          <cell r="AM64">
            <v>87571</v>
          </cell>
        </row>
        <row r="65">
          <cell r="B65" t="str">
            <v>Praça</v>
          </cell>
          <cell r="C65" t="str">
            <v xml:space="preserve"> Categoria de veículo</v>
          </cell>
          <cell r="E65" t="str">
            <v>VDMA</v>
          </cell>
          <cell r="G65">
            <v>14804</v>
          </cell>
          <cell r="H65">
            <v>15304</v>
          </cell>
          <cell r="I65">
            <v>15251</v>
          </cell>
          <cell r="J65">
            <v>15831</v>
          </cell>
          <cell r="K65">
            <v>16434</v>
          </cell>
          <cell r="L65">
            <v>17059</v>
          </cell>
          <cell r="M65">
            <v>17226</v>
          </cell>
          <cell r="N65">
            <v>17894</v>
          </cell>
          <cell r="O65">
            <v>18588</v>
          </cell>
          <cell r="P65">
            <v>19309</v>
          </cell>
          <cell r="Q65">
            <v>20058</v>
          </cell>
          <cell r="R65">
            <v>20836</v>
          </cell>
          <cell r="S65">
            <v>21605</v>
          </cell>
          <cell r="T65">
            <v>22402</v>
          </cell>
          <cell r="U65">
            <v>23228</v>
          </cell>
          <cell r="V65">
            <v>24085</v>
          </cell>
          <cell r="W65">
            <v>24974</v>
          </cell>
          <cell r="X65">
            <v>25878</v>
          </cell>
          <cell r="Y65">
            <v>26814</v>
          </cell>
          <cell r="Z65">
            <v>27784</v>
          </cell>
          <cell r="AA65">
            <v>28789</v>
          </cell>
          <cell r="AB65">
            <v>29831</v>
          </cell>
          <cell r="AC65">
            <v>30898</v>
          </cell>
          <cell r="AD65">
            <v>32004</v>
          </cell>
          <cell r="AE65">
            <v>33149</v>
          </cell>
          <cell r="AF65">
            <v>34335</v>
          </cell>
          <cell r="AG65">
            <v>35564</v>
          </cell>
          <cell r="AH65">
            <v>36824</v>
          </cell>
          <cell r="AI65">
            <v>38129</v>
          </cell>
          <cell r="AJ65">
            <v>39480</v>
          </cell>
          <cell r="AK65">
            <v>40880</v>
          </cell>
          <cell r="AL65">
            <v>42280</v>
          </cell>
          <cell r="AM65">
            <v>43680</v>
          </cell>
        </row>
        <row r="66">
          <cell r="A66" t="str">
            <v>ANTTP4C1</v>
          </cell>
          <cell r="B66">
            <v>4</v>
          </cell>
          <cell r="C66">
            <v>1</v>
          </cell>
          <cell r="D66" t="str">
            <v>automóveis</v>
          </cell>
          <cell r="G66">
            <v>8917</v>
          </cell>
          <cell r="H66">
            <v>9203</v>
          </cell>
          <cell r="I66">
            <v>9160</v>
          </cell>
          <cell r="J66">
            <v>9493</v>
          </cell>
          <cell r="K66">
            <v>9837</v>
          </cell>
          <cell r="L66">
            <v>10194</v>
          </cell>
          <cell r="M66">
            <v>10566</v>
          </cell>
          <cell r="N66">
            <v>10968</v>
          </cell>
          <cell r="O66">
            <v>11384</v>
          </cell>
          <cell r="P66">
            <v>11817</v>
          </cell>
          <cell r="Q66">
            <v>12266</v>
          </cell>
          <cell r="R66">
            <v>12732</v>
          </cell>
          <cell r="S66">
            <v>13200</v>
          </cell>
          <cell r="T66">
            <v>13686</v>
          </cell>
          <cell r="U66">
            <v>14190</v>
          </cell>
          <cell r="V66">
            <v>14712</v>
          </cell>
          <cell r="W66">
            <v>15253</v>
          </cell>
          <cell r="X66">
            <v>15805</v>
          </cell>
          <cell r="Y66">
            <v>16377</v>
          </cell>
          <cell r="Z66">
            <v>16969</v>
          </cell>
          <cell r="AA66">
            <v>17583</v>
          </cell>
          <cell r="AB66">
            <v>18219</v>
          </cell>
          <cell r="AC66">
            <v>18871</v>
          </cell>
          <cell r="AD66">
            <v>19546</v>
          </cell>
          <cell r="AE66">
            <v>20245</v>
          </cell>
          <cell r="AF66">
            <v>20970</v>
          </cell>
          <cell r="AG66">
            <v>21720</v>
          </cell>
          <cell r="AH66">
            <v>22490</v>
          </cell>
          <cell r="AI66">
            <v>23287</v>
          </cell>
          <cell r="AJ66">
            <v>24112</v>
          </cell>
          <cell r="AK66">
            <v>24967</v>
          </cell>
          <cell r="AL66">
            <v>25822</v>
          </cell>
          <cell r="AM66">
            <v>26677</v>
          </cell>
        </row>
        <row r="67">
          <cell r="A67" t="str">
            <v>ANTTP4C2</v>
          </cell>
          <cell r="B67">
            <v>4</v>
          </cell>
          <cell r="C67">
            <v>2</v>
          </cell>
          <cell r="D67" t="str">
            <v>automóveis+semi-reboques</v>
          </cell>
          <cell r="G67">
            <v>107</v>
          </cell>
          <cell r="H67">
            <v>111</v>
          </cell>
          <cell r="I67">
            <v>110</v>
          </cell>
          <cell r="J67">
            <v>114</v>
          </cell>
          <cell r="K67">
            <v>118</v>
          </cell>
          <cell r="L67">
            <v>123</v>
          </cell>
          <cell r="M67">
            <v>127</v>
          </cell>
          <cell r="N67">
            <v>132</v>
          </cell>
          <cell r="O67">
            <v>137</v>
          </cell>
          <cell r="P67">
            <v>142</v>
          </cell>
          <cell r="Q67">
            <v>148</v>
          </cell>
          <cell r="R67">
            <v>153</v>
          </cell>
          <cell r="S67">
            <v>159</v>
          </cell>
          <cell r="T67">
            <v>165</v>
          </cell>
          <cell r="U67">
            <v>171</v>
          </cell>
          <cell r="V67">
            <v>177</v>
          </cell>
          <cell r="W67">
            <v>184</v>
          </cell>
          <cell r="X67">
            <v>190</v>
          </cell>
          <cell r="Y67">
            <v>197</v>
          </cell>
          <cell r="Z67">
            <v>204</v>
          </cell>
          <cell r="AA67">
            <v>212</v>
          </cell>
          <cell r="AB67">
            <v>219</v>
          </cell>
          <cell r="AC67">
            <v>227</v>
          </cell>
          <cell r="AD67">
            <v>235</v>
          </cell>
          <cell r="AE67">
            <v>244</v>
          </cell>
          <cell r="AF67">
            <v>253</v>
          </cell>
          <cell r="AG67">
            <v>262</v>
          </cell>
          <cell r="AH67">
            <v>271</v>
          </cell>
          <cell r="AI67">
            <v>280</v>
          </cell>
          <cell r="AJ67">
            <v>290</v>
          </cell>
          <cell r="AK67">
            <v>301</v>
          </cell>
          <cell r="AL67">
            <v>312</v>
          </cell>
          <cell r="AM67">
            <v>323</v>
          </cell>
        </row>
        <row r="68">
          <cell r="A68" t="str">
            <v>ANTTP4C3</v>
          </cell>
          <cell r="B68">
            <v>4</v>
          </cell>
          <cell r="C68">
            <v>3</v>
          </cell>
          <cell r="D68" t="str">
            <v>automóveis+reboques</v>
          </cell>
          <cell r="G68">
            <v>27</v>
          </cell>
          <cell r="H68">
            <v>28</v>
          </cell>
          <cell r="I68">
            <v>28</v>
          </cell>
          <cell r="J68">
            <v>29</v>
          </cell>
          <cell r="K68">
            <v>30</v>
          </cell>
          <cell r="L68">
            <v>31</v>
          </cell>
          <cell r="M68">
            <v>32</v>
          </cell>
          <cell r="N68">
            <v>33</v>
          </cell>
          <cell r="O68">
            <v>34</v>
          </cell>
          <cell r="P68">
            <v>36</v>
          </cell>
          <cell r="Q68">
            <v>37</v>
          </cell>
          <cell r="R68">
            <v>38</v>
          </cell>
          <cell r="S68">
            <v>40</v>
          </cell>
          <cell r="T68">
            <v>41</v>
          </cell>
          <cell r="U68">
            <v>43</v>
          </cell>
          <cell r="V68">
            <v>44</v>
          </cell>
          <cell r="W68">
            <v>46</v>
          </cell>
          <cell r="X68">
            <v>48</v>
          </cell>
          <cell r="Y68">
            <v>49</v>
          </cell>
          <cell r="Z68">
            <v>51</v>
          </cell>
          <cell r="AA68">
            <v>53</v>
          </cell>
          <cell r="AB68">
            <v>55</v>
          </cell>
          <cell r="AC68">
            <v>57</v>
          </cell>
          <cell r="AD68">
            <v>59</v>
          </cell>
          <cell r="AE68">
            <v>61</v>
          </cell>
          <cell r="AF68">
            <v>63</v>
          </cell>
          <cell r="AG68">
            <v>65</v>
          </cell>
          <cell r="AH68">
            <v>68</v>
          </cell>
          <cell r="AI68">
            <v>70</v>
          </cell>
          <cell r="AJ68">
            <v>73</v>
          </cell>
          <cell r="AK68">
            <v>75</v>
          </cell>
          <cell r="AL68">
            <v>77</v>
          </cell>
          <cell r="AM68">
            <v>79</v>
          </cell>
        </row>
        <row r="69">
          <cell r="A69" t="str">
            <v>ANTTP4C4</v>
          </cell>
          <cell r="B69">
            <v>4</v>
          </cell>
          <cell r="C69">
            <v>4</v>
          </cell>
          <cell r="D69" t="str">
            <v>veículos comerciais 2 eixos</v>
          </cell>
          <cell r="G69">
            <v>1598</v>
          </cell>
          <cell r="H69">
            <v>1647</v>
          </cell>
          <cell r="I69">
            <v>1642</v>
          </cell>
          <cell r="J69">
            <v>1699</v>
          </cell>
          <cell r="K69">
            <v>1758</v>
          </cell>
          <cell r="L69">
            <v>1819</v>
          </cell>
          <cell r="M69">
            <v>1882</v>
          </cell>
          <cell r="N69">
            <v>1951</v>
          </cell>
          <cell r="O69">
            <v>2022</v>
          </cell>
          <cell r="P69">
            <v>2096</v>
          </cell>
          <cell r="Q69">
            <v>2173</v>
          </cell>
          <cell r="R69">
            <v>2253</v>
          </cell>
          <cell r="S69">
            <v>2335</v>
          </cell>
          <cell r="T69">
            <v>2421</v>
          </cell>
          <cell r="U69">
            <v>2509</v>
          </cell>
          <cell r="V69">
            <v>2601</v>
          </cell>
          <cell r="W69">
            <v>2696</v>
          </cell>
          <cell r="X69">
            <v>2794</v>
          </cell>
          <cell r="Y69">
            <v>2895</v>
          </cell>
          <cell r="Z69">
            <v>2999</v>
          </cell>
          <cell r="AA69">
            <v>3108</v>
          </cell>
          <cell r="AB69">
            <v>3220</v>
          </cell>
          <cell r="AC69">
            <v>3335</v>
          </cell>
          <cell r="AD69">
            <v>3455</v>
          </cell>
          <cell r="AE69">
            <v>3578</v>
          </cell>
          <cell r="AF69">
            <v>3706</v>
          </cell>
          <cell r="AG69">
            <v>3839</v>
          </cell>
          <cell r="AH69">
            <v>3975</v>
          </cell>
          <cell r="AI69">
            <v>4116</v>
          </cell>
          <cell r="AJ69">
            <v>4262</v>
          </cell>
          <cell r="AK69">
            <v>4413</v>
          </cell>
          <cell r="AL69">
            <v>4564</v>
          </cell>
          <cell r="AM69">
            <v>4715</v>
          </cell>
        </row>
        <row r="70">
          <cell r="A70" t="str">
            <v>ANTTP4C5</v>
          </cell>
          <cell r="B70">
            <v>4</v>
          </cell>
          <cell r="C70">
            <v>5</v>
          </cell>
          <cell r="D70" t="str">
            <v>veículos comerciais 3 eixos</v>
          </cell>
          <cell r="G70">
            <v>936</v>
          </cell>
          <cell r="H70">
            <v>966</v>
          </cell>
          <cell r="I70">
            <v>964</v>
          </cell>
          <cell r="J70">
            <v>998</v>
          </cell>
          <cell r="K70">
            <v>1034</v>
          </cell>
          <cell r="L70">
            <v>1070</v>
          </cell>
          <cell r="M70">
            <v>1107</v>
          </cell>
          <cell r="N70">
            <v>1148</v>
          </cell>
          <cell r="O70">
            <v>1191</v>
          </cell>
          <cell r="P70">
            <v>1234</v>
          </cell>
          <cell r="Q70">
            <v>1280</v>
          </cell>
          <cell r="R70">
            <v>1327</v>
          </cell>
          <cell r="S70">
            <v>1376</v>
          </cell>
          <cell r="T70">
            <v>1426</v>
          </cell>
          <cell r="U70">
            <v>1479</v>
          </cell>
          <cell r="V70">
            <v>1533</v>
          </cell>
          <cell r="W70">
            <v>1589</v>
          </cell>
          <cell r="X70">
            <v>1646</v>
          </cell>
          <cell r="Y70">
            <v>1706</v>
          </cell>
          <cell r="Z70">
            <v>1767</v>
          </cell>
          <cell r="AA70">
            <v>1831</v>
          </cell>
          <cell r="AB70">
            <v>1898</v>
          </cell>
          <cell r="AC70">
            <v>1966</v>
          </cell>
          <cell r="AD70">
            <v>2036</v>
          </cell>
          <cell r="AE70">
            <v>2109</v>
          </cell>
          <cell r="AF70">
            <v>2184</v>
          </cell>
          <cell r="AG70">
            <v>2262</v>
          </cell>
          <cell r="AH70">
            <v>2342</v>
          </cell>
          <cell r="AI70">
            <v>2425</v>
          </cell>
          <cell r="AJ70">
            <v>2511</v>
          </cell>
          <cell r="AK70">
            <v>2600</v>
          </cell>
          <cell r="AL70">
            <v>2689</v>
          </cell>
          <cell r="AM70">
            <v>2778</v>
          </cell>
        </row>
        <row r="71">
          <cell r="A71" t="str">
            <v>ANTTP4C6</v>
          </cell>
          <cell r="B71">
            <v>4</v>
          </cell>
          <cell r="C71">
            <v>6</v>
          </cell>
          <cell r="D71" t="str">
            <v>veículos comerciais 4 eixos</v>
          </cell>
          <cell r="G71">
            <v>635</v>
          </cell>
          <cell r="H71">
            <v>662</v>
          </cell>
          <cell r="I71">
            <v>664</v>
          </cell>
          <cell r="J71">
            <v>695</v>
          </cell>
          <cell r="K71">
            <v>728</v>
          </cell>
          <cell r="L71">
            <v>763</v>
          </cell>
          <cell r="M71">
            <v>678</v>
          </cell>
          <cell r="N71">
            <v>708</v>
          </cell>
          <cell r="O71">
            <v>739</v>
          </cell>
          <cell r="P71">
            <v>771</v>
          </cell>
          <cell r="Q71">
            <v>805</v>
          </cell>
          <cell r="R71">
            <v>840</v>
          </cell>
          <cell r="S71">
            <v>872</v>
          </cell>
          <cell r="T71">
            <v>905</v>
          </cell>
          <cell r="U71">
            <v>939</v>
          </cell>
          <cell r="V71">
            <v>974</v>
          </cell>
          <cell r="W71">
            <v>1010</v>
          </cell>
          <cell r="X71">
            <v>1047</v>
          </cell>
          <cell r="Y71">
            <v>1085</v>
          </cell>
          <cell r="Z71">
            <v>1124</v>
          </cell>
          <cell r="AA71">
            <v>1165</v>
          </cell>
          <cell r="AB71">
            <v>1207</v>
          </cell>
          <cell r="AC71">
            <v>1250</v>
          </cell>
          <cell r="AD71">
            <v>1295</v>
          </cell>
          <cell r="AE71">
            <v>1341</v>
          </cell>
          <cell r="AF71">
            <v>1389</v>
          </cell>
          <cell r="AG71">
            <v>1439</v>
          </cell>
          <cell r="AH71">
            <v>1490</v>
          </cell>
          <cell r="AI71">
            <v>1543</v>
          </cell>
          <cell r="AJ71">
            <v>1597</v>
          </cell>
          <cell r="AK71">
            <v>1654</v>
          </cell>
          <cell r="AL71">
            <v>1711</v>
          </cell>
          <cell r="AM71">
            <v>1768</v>
          </cell>
        </row>
        <row r="72">
          <cell r="A72" t="str">
            <v>ANTTP4C7</v>
          </cell>
          <cell r="B72">
            <v>4</v>
          </cell>
          <cell r="C72">
            <v>7</v>
          </cell>
          <cell r="D72" t="str">
            <v>caminhões 5 eixos</v>
          </cell>
          <cell r="G72">
            <v>477</v>
          </cell>
          <cell r="H72">
            <v>497</v>
          </cell>
          <cell r="I72">
            <v>498</v>
          </cell>
          <cell r="J72">
            <v>522</v>
          </cell>
          <cell r="K72">
            <v>547</v>
          </cell>
          <cell r="L72">
            <v>573</v>
          </cell>
          <cell r="M72">
            <v>509</v>
          </cell>
          <cell r="N72">
            <v>531</v>
          </cell>
          <cell r="O72">
            <v>555</v>
          </cell>
          <cell r="P72">
            <v>579</v>
          </cell>
          <cell r="Q72">
            <v>604</v>
          </cell>
          <cell r="R72">
            <v>631</v>
          </cell>
          <cell r="S72">
            <v>654</v>
          </cell>
          <cell r="T72">
            <v>679</v>
          </cell>
          <cell r="U72">
            <v>704</v>
          </cell>
          <cell r="V72">
            <v>731</v>
          </cell>
          <cell r="W72">
            <v>758</v>
          </cell>
          <cell r="X72">
            <v>786</v>
          </cell>
          <cell r="Y72">
            <v>814</v>
          </cell>
          <cell r="Z72">
            <v>844</v>
          </cell>
          <cell r="AA72">
            <v>874</v>
          </cell>
          <cell r="AB72">
            <v>906</v>
          </cell>
          <cell r="AC72">
            <v>938</v>
          </cell>
          <cell r="AD72">
            <v>972</v>
          </cell>
          <cell r="AE72">
            <v>1007</v>
          </cell>
          <cell r="AF72">
            <v>1043</v>
          </cell>
          <cell r="AG72">
            <v>1080</v>
          </cell>
          <cell r="AH72">
            <v>1118</v>
          </cell>
          <cell r="AI72">
            <v>1158</v>
          </cell>
          <cell r="AJ72">
            <v>1199</v>
          </cell>
          <cell r="AK72">
            <v>1241</v>
          </cell>
          <cell r="AL72">
            <v>1283</v>
          </cell>
          <cell r="AM72">
            <v>1325</v>
          </cell>
        </row>
        <row r="73">
          <cell r="A73" t="str">
            <v>ANTTP4C8</v>
          </cell>
          <cell r="B73">
            <v>4</v>
          </cell>
          <cell r="C73">
            <v>8</v>
          </cell>
          <cell r="D73" t="str">
            <v>caminhões 6 eixos</v>
          </cell>
          <cell r="G73">
            <v>658</v>
          </cell>
          <cell r="H73">
            <v>687</v>
          </cell>
          <cell r="I73">
            <v>688</v>
          </cell>
          <cell r="J73">
            <v>720</v>
          </cell>
          <cell r="K73">
            <v>755</v>
          </cell>
          <cell r="L73">
            <v>791</v>
          </cell>
          <cell r="M73">
            <v>648</v>
          </cell>
          <cell r="N73">
            <v>677</v>
          </cell>
          <cell r="O73">
            <v>706</v>
          </cell>
          <cell r="P73">
            <v>737</v>
          </cell>
          <cell r="Q73">
            <v>770</v>
          </cell>
          <cell r="R73">
            <v>803</v>
          </cell>
          <cell r="S73">
            <v>834</v>
          </cell>
          <cell r="T73">
            <v>865</v>
          </cell>
          <cell r="U73">
            <v>897</v>
          </cell>
          <cell r="V73">
            <v>931</v>
          </cell>
          <cell r="W73">
            <v>966</v>
          </cell>
          <cell r="X73">
            <v>1001</v>
          </cell>
          <cell r="Y73">
            <v>1037</v>
          </cell>
          <cell r="Z73">
            <v>1075</v>
          </cell>
          <cell r="AA73">
            <v>1114</v>
          </cell>
          <cell r="AB73">
            <v>1154</v>
          </cell>
          <cell r="AC73">
            <v>1195</v>
          </cell>
          <cell r="AD73">
            <v>1238</v>
          </cell>
          <cell r="AE73">
            <v>1282</v>
          </cell>
          <cell r="AF73">
            <v>1328</v>
          </cell>
          <cell r="AG73">
            <v>1376</v>
          </cell>
          <cell r="AH73">
            <v>1424</v>
          </cell>
          <cell r="AI73">
            <v>1475</v>
          </cell>
          <cell r="AJ73">
            <v>1527</v>
          </cell>
          <cell r="AK73">
            <v>1581</v>
          </cell>
          <cell r="AL73">
            <v>1635</v>
          </cell>
          <cell r="AM73">
            <v>1689</v>
          </cell>
        </row>
        <row r="74">
          <cell r="A74" t="str">
            <v>ANTTP4C9</v>
          </cell>
          <cell r="B74">
            <v>4</v>
          </cell>
          <cell r="C74">
            <v>9</v>
          </cell>
          <cell r="D74" t="str">
            <v>caminhões 7 eixos</v>
          </cell>
          <cell r="G74">
            <v>708</v>
          </cell>
          <cell r="H74">
            <v>734</v>
          </cell>
          <cell r="I74">
            <v>732</v>
          </cell>
          <cell r="J74">
            <v>763</v>
          </cell>
          <cell r="K74">
            <v>796</v>
          </cell>
          <cell r="L74">
            <v>830</v>
          </cell>
          <cell r="M74">
            <v>788</v>
          </cell>
          <cell r="N74">
            <v>821</v>
          </cell>
          <cell r="O74">
            <v>856</v>
          </cell>
          <cell r="P74">
            <v>892</v>
          </cell>
          <cell r="Q74">
            <v>930</v>
          </cell>
          <cell r="R74">
            <v>970</v>
          </cell>
          <cell r="S74">
            <v>1006</v>
          </cell>
          <cell r="T74">
            <v>1044</v>
          </cell>
          <cell r="U74">
            <v>1083</v>
          </cell>
          <cell r="V74">
            <v>1123</v>
          </cell>
          <cell r="W74">
            <v>1165</v>
          </cell>
          <cell r="X74">
            <v>1208</v>
          </cell>
          <cell r="Y74">
            <v>1251</v>
          </cell>
          <cell r="Z74">
            <v>1297</v>
          </cell>
          <cell r="AA74">
            <v>1344</v>
          </cell>
          <cell r="AB74">
            <v>1392</v>
          </cell>
          <cell r="AC74">
            <v>1442</v>
          </cell>
          <cell r="AD74">
            <v>1494</v>
          </cell>
          <cell r="AE74">
            <v>1547</v>
          </cell>
          <cell r="AF74">
            <v>1603</v>
          </cell>
          <cell r="AG74">
            <v>1660</v>
          </cell>
          <cell r="AH74">
            <v>1719</v>
          </cell>
          <cell r="AI74">
            <v>1780</v>
          </cell>
          <cell r="AJ74">
            <v>1843</v>
          </cell>
          <cell r="AK74">
            <v>1908</v>
          </cell>
          <cell r="AL74">
            <v>1973</v>
          </cell>
          <cell r="AM74">
            <v>2038</v>
          </cell>
        </row>
        <row r="75">
          <cell r="A75" t="str">
            <v>ANTTP4C10</v>
          </cell>
          <cell r="B75">
            <v>4</v>
          </cell>
          <cell r="C75">
            <v>10</v>
          </cell>
          <cell r="D75" t="str">
            <v>caminhões 8 eixos</v>
          </cell>
          <cell r="G75">
            <v>0</v>
          </cell>
          <cell r="H75">
            <v>0</v>
          </cell>
          <cell r="I75">
            <v>0</v>
          </cell>
          <cell r="J75">
            <v>0</v>
          </cell>
          <cell r="K75">
            <v>0</v>
          </cell>
          <cell r="L75">
            <v>0</v>
          </cell>
          <cell r="M75">
            <v>0</v>
          </cell>
          <cell r="N75">
            <v>0</v>
          </cell>
          <cell r="O75">
            <v>0</v>
          </cell>
          <cell r="P75">
            <v>0</v>
          </cell>
          <cell r="Q75">
            <v>0</v>
          </cell>
          <cell r="R75">
            <v>0</v>
          </cell>
          <cell r="S75">
            <v>0</v>
          </cell>
          <cell r="T75">
            <v>0</v>
          </cell>
          <cell r="U75">
            <v>0</v>
          </cell>
          <cell r="V75">
            <v>0</v>
          </cell>
          <cell r="W75">
            <v>0</v>
          </cell>
          <cell r="X75">
            <v>0</v>
          </cell>
          <cell r="Y75">
            <v>0</v>
          </cell>
          <cell r="Z75">
            <v>0</v>
          </cell>
          <cell r="AA75">
            <v>0</v>
          </cell>
          <cell r="AB75">
            <v>0</v>
          </cell>
          <cell r="AC75">
            <v>0</v>
          </cell>
          <cell r="AD75">
            <v>0</v>
          </cell>
          <cell r="AE75">
            <v>0</v>
          </cell>
          <cell r="AF75">
            <v>0</v>
          </cell>
          <cell r="AG75">
            <v>0</v>
          </cell>
          <cell r="AH75">
            <v>0</v>
          </cell>
          <cell r="AI75">
            <v>0</v>
          </cell>
          <cell r="AJ75">
            <v>0</v>
          </cell>
          <cell r="AK75">
            <v>0</v>
          </cell>
          <cell r="AL75">
            <v>0</v>
          </cell>
          <cell r="AM75">
            <v>0</v>
          </cell>
        </row>
        <row r="76">
          <cell r="A76" t="str">
            <v>ANTTP4C11</v>
          </cell>
          <cell r="B76">
            <v>4</v>
          </cell>
          <cell r="C76">
            <v>11</v>
          </cell>
          <cell r="D76" t="str">
            <v>caminhões 9 eixos</v>
          </cell>
          <cell r="G76">
            <v>118</v>
          </cell>
          <cell r="H76">
            <v>122</v>
          </cell>
          <cell r="I76">
            <v>122</v>
          </cell>
          <cell r="J76">
            <v>127</v>
          </cell>
          <cell r="K76">
            <v>132</v>
          </cell>
          <cell r="L76">
            <v>138</v>
          </cell>
          <cell r="M76">
            <v>131</v>
          </cell>
          <cell r="N76">
            <v>136</v>
          </cell>
          <cell r="O76">
            <v>142</v>
          </cell>
          <cell r="P76">
            <v>148</v>
          </cell>
          <cell r="Q76">
            <v>155</v>
          </cell>
          <cell r="R76">
            <v>161</v>
          </cell>
          <cell r="S76">
            <v>167</v>
          </cell>
          <cell r="T76">
            <v>173</v>
          </cell>
          <cell r="U76">
            <v>180</v>
          </cell>
          <cell r="V76">
            <v>187</v>
          </cell>
          <cell r="W76">
            <v>194</v>
          </cell>
          <cell r="X76">
            <v>201</v>
          </cell>
          <cell r="Y76">
            <v>208</v>
          </cell>
          <cell r="Z76">
            <v>216</v>
          </cell>
          <cell r="AA76">
            <v>223</v>
          </cell>
          <cell r="AB76">
            <v>231</v>
          </cell>
          <cell r="AC76">
            <v>240</v>
          </cell>
          <cell r="AD76">
            <v>248</v>
          </cell>
          <cell r="AE76">
            <v>257</v>
          </cell>
          <cell r="AF76">
            <v>266</v>
          </cell>
          <cell r="AG76">
            <v>276</v>
          </cell>
          <cell r="AH76">
            <v>286</v>
          </cell>
          <cell r="AI76">
            <v>296</v>
          </cell>
          <cell r="AJ76">
            <v>306</v>
          </cell>
          <cell r="AK76">
            <v>317</v>
          </cell>
          <cell r="AL76">
            <v>328</v>
          </cell>
          <cell r="AM76">
            <v>339</v>
          </cell>
        </row>
        <row r="77">
          <cell r="A77" t="str">
            <v>ANTTP4C12</v>
          </cell>
          <cell r="B77">
            <v>4</v>
          </cell>
          <cell r="C77">
            <v>12</v>
          </cell>
          <cell r="D77" t="str">
            <v>caminhões 10 ou + eixos</v>
          </cell>
          <cell r="G77">
            <v>13</v>
          </cell>
          <cell r="H77">
            <v>14</v>
          </cell>
          <cell r="I77">
            <v>14</v>
          </cell>
          <cell r="J77">
            <v>14</v>
          </cell>
          <cell r="K77">
            <v>15</v>
          </cell>
          <cell r="L77">
            <v>15</v>
          </cell>
          <cell r="M77">
            <v>15</v>
          </cell>
          <cell r="N77">
            <v>15</v>
          </cell>
          <cell r="O77">
            <v>16</v>
          </cell>
          <cell r="P77">
            <v>16</v>
          </cell>
          <cell r="Q77">
            <v>17</v>
          </cell>
          <cell r="R77">
            <v>18</v>
          </cell>
          <cell r="S77">
            <v>19</v>
          </cell>
          <cell r="T77">
            <v>19</v>
          </cell>
          <cell r="U77">
            <v>20</v>
          </cell>
          <cell r="V77">
            <v>21</v>
          </cell>
          <cell r="W77">
            <v>22</v>
          </cell>
          <cell r="X77">
            <v>22</v>
          </cell>
          <cell r="Y77">
            <v>23</v>
          </cell>
          <cell r="Z77">
            <v>24</v>
          </cell>
          <cell r="AA77">
            <v>25</v>
          </cell>
          <cell r="AB77">
            <v>26</v>
          </cell>
          <cell r="AC77">
            <v>27</v>
          </cell>
          <cell r="AD77">
            <v>28</v>
          </cell>
          <cell r="AE77">
            <v>29</v>
          </cell>
          <cell r="AF77">
            <v>30</v>
          </cell>
          <cell r="AG77">
            <v>31</v>
          </cell>
          <cell r="AH77">
            <v>32</v>
          </cell>
          <cell r="AI77">
            <v>33</v>
          </cell>
          <cell r="AJ77">
            <v>34</v>
          </cell>
          <cell r="AK77">
            <v>35</v>
          </cell>
          <cell r="AL77">
            <v>36</v>
          </cell>
          <cell r="AM77">
            <v>37</v>
          </cell>
        </row>
        <row r="78">
          <cell r="A78" t="str">
            <v>ANTTP4C13</v>
          </cell>
          <cell r="B78">
            <v>4</v>
          </cell>
          <cell r="C78">
            <v>13</v>
          </cell>
          <cell r="D78" t="str">
            <v>motocicletas</v>
          </cell>
          <cell r="G78">
            <v>610</v>
          </cell>
          <cell r="H78">
            <v>633</v>
          </cell>
          <cell r="I78">
            <v>631</v>
          </cell>
          <cell r="J78">
            <v>657</v>
          </cell>
          <cell r="K78">
            <v>685</v>
          </cell>
          <cell r="L78">
            <v>713</v>
          </cell>
          <cell r="M78">
            <v>743</v>
          </cell>
          <cell r="N78">
            <v>773</v>
          </cell>
          <cell r="O78">
            <v>805</v>
          </cell>
          <cell r="P78">
            <v>838</v>
          </cell>
          <cell r="Q78">
            <v>873</v>
          </cell>
          <cell r="R78">
            <v>909</v>
          </cell>
          <cell r="S78">
            <v>943</v>
          </cell>
          <cell r="T78">
            <v>978</v>
          </cell>
          <cell r="U78">
            <v>1015</v>
          </cell>
          <cell r="V78">
            <v>1052</v>
          </cell>
          <cell r="W78">
            <v>1092</v>
          </cell>
          <cell r="X78">
            <v>1131</v>
          </cell>
          <cell r="Y78">
            <v>1172</v>
          </cell>
          <cell r="Z78">
            <v>1214</v>
          </cell>
          <cell r="AA78">
            <v>1258</v>
          </cell>
          <cell r="AB78">
            <v>1304</v>
          </cell>
          <cell r="AC78">
            <v>1351</v>
          </cell>
          <cell r="AD78">
            <v>1399</v>
          </cell>
          <cell r="AE78">
            <v>1449</v>
          </cell>
          <cell r="AF78">
            <v>1501</v>
          </cell>
          <cell r="AG78">
            <v>1554</v>
          </cell>
          <cell r="AH78">
            <v>1610</v>
          </cell>
          <cell r="AI78">
            <v>1667</v>
          </cell>
          <cell r="AJ78">
            <v>1726</v>
          </cell>
          <cell r="AK78">
            <v>1787</v>
          </cell>
          <cell r="AL78">
            <v>1848</v>
          </cell>
          <cell r="AM78">
            <v>1909</v>
          </cell>
        </row>
        <row r="79">
          <cell r="D79" t="str">
            <v>Autos+motos</v>
          </cell>
          <cell r="G79">
            <v>9661</v>
          </cell>
          <cell r="H79">
            <v>9975</v>
          </cell>
          <cell r="I79">
            <v>9929</v>
          </cell>
          <cell r="J79">
            <v>10293</v>
          </cell>
          <cell r="K79">
            <v>10670</v>
          </cell>
          <cell r="L79">
            <v>11061</v>
          </cell>
        </row>
        <row r="80">
          <cell r="B80" t="str">
            <v>Praça 5</v>
          </cell>
        </row>
        <row r="81">
          <cell r="B81">
            <v>5</v>
          </cell>
          <cell r="E81" t="str">
            <v>VDMAeq</v>
          </cell>
          <cell r="G81">
            <v>18369</v>
          </cell>
          <cell r="H81">
            <v>19066</v>
          </cell>
          <cell r="I81">
            <v>17811</v>
          </cell>
          <cell r="J81">
            <v>18561</v>
          </cell>
          <cell r="K81">
            <v>19344</v>
          </cell>
          <cell r="L81">
            <v>20161</v>
          </cell>
          <cell r="M81">
            <v>18621</v>
          </cell>
          <cell r="N81">
            <v>19375</v>
          </cell>
          <cell r="O81">
            <v>20159</v>
          </cell>
          <cell r="P81">
            <v>20976</v>
          </cell>
          <cell r="Q81">
            <v>21826</v>
          </cell>
          <cell r="R81">
            <v>22710</v>
          </cell>
          <cell r="S81">
            <v>23553</v>
          </cell>
          <cell r="T81">
            <v>24426</v>
          </cell>
          <cell r="U81">
            <v>25332</v>
          </cell>
          <cell r="V81">
            <v>26272</v>
          </cell>
          <cell r="W81">
            <v>27247</v>
          </cell>
          <cell r="X81">
            <v>28233</v>
          </cell>
          <cell r="Y81">
            <v>29255</v>
          </cell>
          <cell r="Z81">
            <v>30313</v>
          </cell>
          <cell r="AA81">
            <v>31411</v>
          </cell>
          <cell r="AB81">
            <v>32547</v>
          </cell>
          <cell r="AC81">
            <v>33712</v>
          </cell>
          <cell r="AD81">
            <v>34918</v>
          </cell>
          <cell r="AE81">
            <v>36168</v>
          </cell>
          <cell r="AF81">
            <v>37462</v>
          </cell>
          <cell r="AG81">
            <v>38802</v>
          </cell>
          <cell r="AH81">
            <v>40177</v>
          </cell>
          <cell r="AI81">
            <v>41601</v>
          </cell>
          <cell r="AJ81">
            <v>43076</v>
          </cell>
          <cell r="AK81">
            <v>44602</v>
          </cell>
          <cell r="AL81">
            <v>46128</v>
          </cell>
          <cell r="AM81">
            <v>47654</v>
          </cell>
        </row>
        <row r="82">
          <cell r="B82" t="str">
            <v>Praça</v>
          </cell>
          <cell r="C82" t="str">
            <v xml:space="preserve"> Categoria de veículo</v>
          </cell>
          <cell r="E82" t="str">
            <v>VDMA</v>
          </cell>
          <cell r="G82">
            <v>8280</v>
          </cell>
          <cell r="H82">
            <v>8564</v>
          </cell>
          <cell r="I82">
            <v>8036</v>
          </cell>
          <cell r="J82">
            <v>8346</v>
          </cell>
          <cell r="K82">
            <v>8668</v>
          </cell>
          <cell r="L82">
            <v>9003</v>
          </cell>
          <cell r="M82">
            <v>8901</v>
          </cell>
          <cell r="N82">
            <v>9247</v>
          </cell>
          <cell r="O82">
            <v>9606</v>
          </cell>
          <cell r="P82">
            <v>9980</v>
          </cell>
          <cell r="Q82">
            <v>10368</v>
          </cell>
          <cell r="R82">
            <v>10771</v>
          </cell>
          <cell r="S82">
            <v>11169</v>
          </cell>
          <cell r="T82">
            <v>11581</v>
          </cell>
          <cell r="U82">
            <v>12008</v>
          </cell>
          <cell r="V82">
            <v>12451</v>
          </cell>
          <cell r="W82">
            <v>12911</v>
          </cell>
          <cell r="X82">
            <v>13378</v>
          </cell>
          <cell r="Y82">
            <v>13862</v>
          </cell>
          <cell r="Z82">
            <v>14363</v>
          </cell>
          <cell r="AA82">
            <v>14883</v>
          </cell>
          <cell r="AB82">
            <v>15422</v>
          </cell>
          <cell r="AC82">
            <v>15973</v>
          </cell>
          <cell r="AD82">
            <v>16545</v>
          </cell>
          <cell r="AE82">
            <v>17137</v>
          </cell>
          <cell r="AF82">
            <v>17750</v>
          </cell>
          <cell r="AG82">
            <v>18385</v>
          </cell>
          <cell r="AH82">
            <v>19037</v>
          </cell>
          <cell r="AI82">
            <v>19712</v>
          </cell>
          <cell r="AJ82">
            <v>20410</v>
          </cell>
          <cell r="AK82">
            <v>21133</v>
          </cell>
          <cell r="AL82">
            <v>21856</v>
          </cell>
          <cell r="AM82">
            <v>22579</v>
          </cell>
        </row>
        <row r="83">
          <cell r="A83" t="str">
            <v>ANTTP5C1</v>
          </cell>
          <cell r="B83">
            <v>5</v>
          </cell>
          <cell r="C83">
            <v>1</v>
          </cell>
          <cell r="D83" t="str">
            <v>automóveis</v>
          </cell>
          <cell r="G83">
            <v>4628</v>
          </cell>
          <cell r="H83">
            <v>4775</v>
          </cell>
          <cell r="I83">
            <v>4501</v>
          </cell>
          <cell r="J83">
            <v>4664</v>
          </cell>
          <cell r="K83">
            <v>4832</v>
          </cell>
          <cell r="L83">
            <v>5007</v>
          </cell>
          <cell r="M83">
            <v>5190</v>
          </cell>
          <cell r="N83">
            <v>5387</v>
          </cell>
          <cell r="O83">
            <v>5591</v>
          </cell>
          <cell r="P83">
            <v>5804</v>
          </cell>
          <cell r="Q83">
            <v>6024</v>
          </cell>
          <cell r="R83">
            <v>6253</v>
          </cell>
          <cell r="S83">
            <v>6483</v>
          </cell>
          <cell r="T83">
            <v>6722</v>
          </cell>
          <cell r="U83">
            <v>6969</v>
          </cell>
          <cell r="V83">
            <v>7226</v>
          </cell>
          <cell r="W83">
            <v>7491</v>
          </cell>
          <cell r="X83">
            <v>7762</v>
          </cell>
          <cell r="Y83">
            <v>8043</v>
          </cell>
          <cell r="Z83">
            <v>8334</v>
          </cell>
          <cell r="AA83">
            <v>8636</v>
          </cell>
          <cell r="AB83">
            <v>8948</v>
          </cell>
          <cell r="AC83">
            <v>9268</v>
          </cell>
          <cell r="AD83">
            <v>9600</v>
          </cell>
          <cell r="AE83">
            <v>9943</v>
          </cell>
          <cell r="AF83">
            <v>10299</v>
          </cell>
          <cell r="AG83">
            <v>10668</v>
          </cell>
          <cell r="AH83">
            <v>11046</v>
          </cell>
          <cell r="AI83">
            <v>11437</v>
          </cell>
          <cell r="AJ83">
            <v>11843</v>
          </cell>
          <cell r="AK83">
            <v>12262</v>
          </cell>
          <cell r="AL83">
            <v>12681</v>
          </cell>
          <cell r="AM83">
            <v>13100</v>
          </cell>
        </row>
        <row r="84">
          <cell r="A84" t="str">
            <v>ANTTP5C2</v>
          </cell>
          <cell r="B84">
            <v>5</v>
          </cell>
          <cell r="C84">
            <v>2</v>
          </cell>
          <cell r="D84" t="str">
            <v>automóveis+semi-reboques</v>
          </cell>
          <cell r="G84">
            <v>56</v>
          </cell>
          <cell r="H84">
            <v>58</v>
          </cell>
          <cell r="I84">
            <v>54</v>
          </cell>
          <cell r="J84">
            <v>56</v>
          </cell>
          <cell r="K84">
            <v>58</v>
          </cell>
          <cell r="L84">
            <v>60</v>
          </cell>
          <cell r="M84">
            <v>63</v>
          </cell>
          <cell r="N84">
            <v>65</v>
          </cell>
          <cell r="O84">
            <v>67</v>
          </cell>
          <cell r="P84">
            <v>70</v>
          </cell>
          <cell r="Q84">
            <v>73</v>
          </cell>
          <cell r="R84">
            <v>75</v>
          </cell>
          <cell r="S84">
            <v>78</v>
          </cell>
          <cell r="T84">
            <v>81</v>
          </cell>
          <cell r="U84">
            <v>84</v>
          </cell>
          <cell r="V84">
            <v>87</v>
          </cell>
          <cell r="W84">
            <v>90</v>
          </cell>
          <cell r="X84">
            <v>93</v>
          </cell>
          <cell r="Y84">
            <v>97</v>
          </cell>
          <cell r="Z84">
            <v>100</v>
          </cell>
          <cell r="AA84">
            <v>104</v>
          </cell>
          <cell r="AB84">
            <v>108</v>
          </cell>
          <cell r="AC84">
            <v>112</v>
          </cell>
          <cell r="AD84">
            <v>116</v>
          </cell>
          <cell r="AE84">
            <v>120</v>
          </cell>
          <cell r="AF84">
            <v>124</v>
          </cell>
          <cell r="AG84">
            <v>128</v>
          </cell>
          <cell r="AH84">
            <v>133</v>
          </cell>
          <cell r="AI84">
            <v>138</v>
          </cell>
          <cell r="AJ84">
            <v>143</v>
          </cell>
          <cell r="AK84">
            <v>148</v>
          </cell>
          <cell r="AL84">
            <v>153</v>
          </cell>
          <cell r="AM84">
            <v>158</v>
          </cell>
        </row>
        <row r="85">
          <cell r="A85" t="str">
            <v>ANTTP5C3</v>
          </cell>
          <cell r="B85">
            <v>5</v>
          </cell>
          <cell r="C85">
            <v>3</v>
          </cell>
          <cell r="D85" t="str">
            <v>automóveis+reboques</v>
          </cell>
          <cell r="G85">
            <v>14</v>
          </cell>
          <cell r="H85">
            <v>14</v>
          </cell>
          <cell r="I85">
            <v>14</v>
          </cell>
          <cell r="J85">
            <v>14</v>
          </cell>
          <cell r="K85">
            <v>15</v>
          </cell>
          <cell r="L85">
            <v>15</v>
          </cell>
          <cell r="M85">
            <v>16</v>
          </cell>
          <cell r="N85">
            <v>16</v>
          </cell>
          <cell r="O85">
            <v>17</v>
          </cell>
          <cell r="P85">
            <v>17</v>
          </cell>
          <cell r="Q85">
            <v>18</v>
          </cell>
          <cell r="R85">
            <v>19</v>
          </cell>
          <cell r="S85">
            <v>20</v>
          </cell>
          <cell r="T85">
            <v>20</v>
          </cell>
          <cell r="U85">
            <v>21</v>
          </cell>
          <cell r="V85">
            <v>22</v>
          </cell>
          <cell r="W85">
            <v>23</v>
          </cell>
          <cell r="X85">
            <v>23</v>
          </cell>
          <cell r="Y85">
            <v>24</v>
          </cell>
          <cell r="Z85">
            <v>25</v>
          </cell>
          <cell r="AA85">
            <v>26</v>
          </cell>
          <cell r="AB85">
            <v>27</v>
          </cell>
          <cell r="AC85">
            <v>28</v>
          </cell>
          <cell r="AD85">
            <v>29</v>
          </cell>
          <cell r="AE85">
            <v>30</v>
          </cell>
          <cell r="AF85">
            <v>31</v>
          </cell>
          <cell r="AG85">
            <v>32</v>
          </cell>
          <cell r="AH85">
            <v>33</v>
          </cell>
          <cell r="AI85">
            <v>34</v>
          </cell>
          <cell r="AJ85">
            <v>36</v>
          </cell>
          <cell r="AK85">
            <v>37</v>
          </cell>
          <cell r="AL85">
            <v>38</v>
          </cell>
          <cell r="AM85">
            <v>39</v>
          </cell>
        </row>
        <row r="86">
          <cell r="A86" t="str">
            <v>ANTTP5C4</v>
          </cell>
          <cell r="B86">
            <v>5</v>
          </cell>
          <cell r="C86">
            <v>4</v>
          </cell>
          <cell r="D86" t="str">
            <v>veículos comerciais 2 eixos</v>
          </cell>
          <cell r="G86">
            <v>863</v>
          </cell>
          <cell r="H86">
            <v>889</v>
          </cell>
          <cell r="I86">
            <v>833</v>
          </cell>
          <cell r="J86">
            <v>861</v>
          </cell>
          <cell r="K86">
            <v>891</v>
          </cell>
          <cell r="L86">
            <v>921</v>
          </cell>
          <cell r="M86">
            <v>952</v>
          </cell>
          <cell r="N86">
            <v>987</v>
          </cell>
          <cell r="O86">
            <v>1023</v>
          </cell>
          <cell r="P86">
            <v>1060</v>
          </cell>
          <cell r="Q86">
            <v>1098</v>
          </cell>
          <cell r="R86">
            <v>1138</v>
          </cell>
          <cell r="S86">
            <v>1180</v>
          </cell>
          <cell r="T86">
            <v>1223</v>
          </cell>
          <cell r="U86">
            <v>1268</v>
          </cell>
          <cell r="V86">
            <v>1314</v>
          </cell>
          <cell r="W86">
            <v>1362</v>
          </cell>
          <cell r="X86">
            <v>1412</v>
          </cell>
          <cell r="Y86">
            <v>1463</v>
          </cell>
          <cell r="Z86">
            <v>1516</v>
          </cell>
          <cell r="AA86">
            <v>1570</v>
          </cell>
          <cell r="AB86">
            <v>1627</v>
          </cell>
          <cell r="AC86">
            <v>1685</v>
          </cell>
          <cell r="AD86">
            <v>1746</v>
          </cell>
          <cell r="AE86">
            <v>1808</v>
          </cell>
          <cell r="AF86">
            <v>1873</v>
          </cell>
          <cell r="AG86">
            <v>1940</v>
          </cell>
          <cell r="AH86">
            <v>2009</v>
          </cell>
          <cell r="AI86">
            <v>2080</v>
          </cell>
          <cell r="AJ86">
            <v>2153</v>
          </cell>
          <cell r="AK86">
            <v>2230</v>
          </cell>
          <cell r="AL86">
            <v>2307</v>
          </cell>
          <cell r="AM86">
            <v>2384</v>
          </cell>
        </row>
        <row r="87">
          <cell r="A87" t="str">
            <v>ANTTP5C5</v>
          </cell>
          <cell r="B87">
            <v>5</v>
          </cell>
          <cell r="C87">
            <v>5</v>
          </cell>
          <cell r="D87" t="str">
            <v>veículos comerciais 3 eixos</v>
          </cell>
          <cell r="G87">
            <v>807</v>
          </cell>
          <cell r="H87">
            <v>833</v>
          </cell>
          <cell r="I87">
            <v>782</v>
          </cell>
          <cell r="J87">
            <v>810</v>
          </cell>
          <cell r="K87">
            <v>838</v>
          </cell>
          <cell r="L87">
            <v>868</v>
          </cell>
          <cell r="M87">
            <v>898</v>
          </cell>
          <cell r="N87">
            <v>931</v>
          </cell>
          <cell r="O87">
            <v>965</v>
          </cell>
          <cell r="P87">
            <v>1001</v>
          </cell>
          <cell r="Q87">
            <v>1038</v>
          </cell>
          <cell r="R87">
            <v>1076</v>
          </cell>
          <cell r="S87">
            <v>1116</v>
          </cell>
          <cell r="T87">
            <v>1156</v>
          </cell>
          <cell r="U87">
            <v>1199</v>
          </cell>
          <cell r="V87">
            <v>1243</v>
          </cell>
          <cell r="W87">
            <v>1288</v>
          </cell>
          <cell r="X87">
            <v>1335</v>
          </cell>
          <cell r="Y87">
            <v>1383</v>
          </cell>
          <cell r="Z87">
            <v>1433</v>
          </cell>
          <cell r="AA87">
            <v>1485</v>
          </cell>
          <cell r="AB87">
            <v>1539</v>
          </cell>
          <cell r="AC87">
            <v>1594</v>
          </cell>
          <cell r="AD87">
            <v>1651</v>
          </cell>
          <cell r="AE87">
            <v>1710</v>
          </cell>
          <cell r="AF87">
            <v>1771</v>
          </cell>
          <cell r="AG87">
            <v>1834</v>
          </cell>
          <cell r="AH87">
            <v>1899</v>
          </cell>
          <cell r="AI87">
            <v>1967</v>
          </cell>
          <cell r="AJ87">
            <v>2036</v>
          </cell>
          <cell r="AK87">
            <v>2109</v>
          </cell>
          <cell r="AL87">
            <v>2182</v>
          </cell>
          <cell r="AM87">
            <v>2255</v>
          </cell>
        </row>
        <row r="88">
          <cell r="A88" t="str">
            <v>ANTTP5C6</v>
          </cell>
          <cell r="B88">
            <v>5</v>
          </cell>
          <cell r="C88">
            <v>6</v>
          </cell>
          <cell r="D88" t="str">
            <v>veículos comerciais 4 eixos</v>
          </cell>
          <cell r="G88">
            <v>658</v>
          </cell>
          <cell r="H88">
            <v>687</v>
          </cell>
          <cell r="I88">
            <v>638</v>
          </cell>
          <cell r="J88">
            <v>669</v>
          </cell>
          <cell r="K88">
            <v>702</v>
          </cell>
          <cell r="L88">
            <v>736</v>
          </cell>
          <cell r="M88">
            <v>625</v>
          </cell>
          <cell r="N88">
            <v>652</v>
          </cell>
          <cell r="O88">
            <v>681</v>
          </cell>
          <cell r="P88">
            <v>711</v>
          </cell>
          <cell r="Q88">
            <v>743</v>
          </cell>
          <cell r="R88">
            <v>775</v>
          </cell>
          <cell r="S88">
            <v>804</v>
          </cell>
          <cell r="T88">
            <v>835</v>
          </cell>
          <cell r="U88">
            <v>866</v>
          </cell>
          <cell r="V88">
            <v>898</v>
          </cell>
          <cell r="W88">
            <v>932</v>
          </cell>
          <cell r="X88">
            <v>966</v>
          </cell>
          <cell r="Y88">
            <v>1001</v>
          </cell>
          <cell r="Z88">
            <v>1037</v>
          </cell>
          <cell r="AA88">
            <v>1075</v>
          </cell>
          <cell r="AB88">
            <v>1114</v>
          </cell>
          <cell r="AC88">
            <v>1154</v>
          </cell>
          <cell r="AD88">
            <v>1195</v>
          </cell>
          <cell r="AE88">
            <v>1238</v>
          </cell>
          <cell r="AF88">
            <v>1282</v>
          </cell>
          <cell r="AG88">
            <v>1328</v>
          </cell>
          <cell r="AH88">
            <v>1375</v>
          </cell>
          <cell r="AI88">
            <v>1423</v>
          </cell>
          <cell r="AJ88">
            <v>1474</v>
          </cell>
          <cell r="AK88">
            <v>1526</v>
          </cell>
          <cell r="AL88">
            <v>1578</v>
          </cell>
          <cell r="AM88">
            <v>1630</v>
          </cell>
        </row>
        <row r="89">
          <cell r="A89" t="str">
            <v>ANTTP5C7</v>
          </cell>
          <cell r="B89">
            <v>5</v>
          </cell>
          <cell r="C89">
            <v>7</v>
          </cell>
          <cell r="D89" t="str">
            <v>caminhões 5 eixos</v>
          </cell>
          <cell r="G89">
            <v>494</v>
          </cell>
          <cell r="H89">
            <v>516</v>
          </cell>
          <cell r="I89">
            <v>479</v>
          </cell>
          <cell r="J89">
            <v>502</v>
          </cell>
          <cell r="K89">
            <v>527</v>
          </cell>
          <cell r="L89">
            <v>553</v>
          </cell>
          <cell r="M89">
            <v>469</v>
          </cell>
          <cell r="N89">
            <v>490</v>
          </cell>
          <cell r="O89">
            <v>511</v>
          </cell>
          <cell r="P89">
            <v>534</v>
          </cell>
          <cell r="Q89">
            <v>557</v>
          </cell>
          <cell r="R89">
            <v>582</v>
          </cell>
          <cell r="S89">
            <v>604</v>
          </cell>
          <cell r="T89">
            <v>626</v>
          </cell>
          <cell r="U89">
            <v>650</v>
          </cell>
          <cell r="V89">
            <v>674</v>
          </cell>
          <cell r="W89">
            <v>700</v>
          </cell>
          <cell r="X89">
            <v>725</v>
          </cell>
          <cell r="Y89">
            <v>751</v>
          </cell>
          <cell r="Z89">
            <v>778</v>
          </cell>
          <cell r="AA89">
            <v>807</v>
          </cell>
          <cell r="AB89">
            <v>836</v>
          </cell>
          <cell r="AC89">
            <v>866</v>
          </cell>
          <cell r="AD89">
            <v>897</v>
          </cell>
          <cell r="AE89">
            <v>929</v>
          </cell>
          <cell r="AF89">
            <v>962</v>
          </cell>
          <cell r="AG89">
            <v>996</v>
          </cell>
          <cell r="AH89">
            <v>1032</v>
          </cell>
          <cell r="AI89">
            <v>1068</v>
          </cell>
          <cell r="AJ89">
            <v>1106</v>
          </cell>
          <cell r="AK89">
            <v>1145</v>
          </cell>
          <cell r="AL89">
            <v>1184</v>
          </cell>
          <cell r="AM89">
            <v>1223</v>
          </cell>
        </row>
        <row r="90">
          <cell r="A90" t="str">
            <v>ANTTP5C8</v>
          </cell>
          <cell r="B90">
            <v>5</v>
          </cell>
          <cell r="C90">
            <v>8</v>
          </cell>
          <cell r="D90" t="str">
            <v>caminhões 6 eixos</v>
          </cell>
          <cell r="G90">
            <v>392</v>
          </cell>
          <cell r="H90">
            <v>409</v>
          </cell>
          <cell r="I90">
            <v>380</v>
          </cell>
          <cell r="J90">
            <v>398</v>
          </cell>
          <cell r="K90">
            <v>417</v>
          </cell>
          <cell r="L90">
            <v>437</v>
          </cell>
          <cell r="M90">
            <v>330</v>
          </cell>
          <cell r="N90">
            <v>345</v>
          </cell>
          <cell r="O90">
            <v>360</v>
          </cell>
          <cell r="P90">
            <v>375</v>
          </cell>
          <cell r="Q90">
            <v>392</v>
          </cell>
          <cell r="R90">
            <v>409</v>
          </cell>
          <cell r="S90">
            <v>424</v>
          </cell>
          <cell r="T90">
            <v>440</v>
          </cell>
          <cell r="U90">
            <v>457</v>
          </cell>
          <cell r="V90">
            <v>474</v>
          </cell>
          <cell r="W90">
            <v>492</v>
          </cell>
          <cell r="X90">
            <v>509</v>
          </cell>
          <cell r="Y90">
            <v>528</v>
          </cell>
          <cell r="Z90">
            <v>547</v>
          </cell>
          <cell r="AA90">
            <v>567</v>
          </cell>
          <cell r="AB90">
            <v>587</v>
          </cell>
          <cell r="AC90">
            <v>608</v>
          </cell>
          <cell r="AD90">
            <v>630</v>
          </cell>
          <cell r="AE90">
            <v>653</v>
          </cell>
          <cell r="AF90">
            <v>676</v>
          </cell>
          <cell r="AG90">
            <v>700</v>
          </cell>
          <cell r="AH90">
            <v>725</v>
          </cell>
          <cell r="AI90">
            <v>751</v>
          </cell>
          <cell r="AJ90">
            <v>777</v>
          </cell>
          <cell r="AK90">
            <v>805</v>
          </cell>
          <cell r="AL90">
            <v>833</v>
          </cell>
          <cell r="AM90">
            <v>861</v>
          </cell>
        </row>
        <row r="91">
          <cell r="A91" t="str">
            <v>ANTTP5C9</v>
          </cell>
          <cell r="B91">
            <v>5</v>
          </cell>
          <cell r="C91">
            <v>9</v>
          </cell>
          <cell r="D91" t="str">
            <v>caminhões 7 eixos</v>
          </cell>
          <cell r="G91">
            <v>228</v>
          </cell>
          <cell r="H91">
            <v>238</v>
          </cell>
          <cell r="I91">
            <v>221</v>
          </cell>
          <cell r="J91">
            <v>232</v>
          </cell>
          <cell r="K91">
            <v>243</v>
          </cell>
          <cell r="L91">
            <v>254</v>
          </cell>
          <cell r="M91">
            <v>211</v>
          </cell>
          <cell r="N91">
            <v>220</v>
          </cell>
          <cell r="O91">
            <v>230</v>
          </cell>
          <cell r="P91">
            <v>240</v>
          </cell>
          <cell r="Q91">
            <v>250</v>
          </cell>
          <cell r="R91">
            <v>261</v>
          </cell>
          <cell r="S91">
            <v>271</v>
          </cell>
          <cell r="T91">
            <v>281</v>
          </cell>
          <cell r="U91">
            <v>292</v>
          </cell>
          <cell r="V91">
            <v>303</v>
          </cell>
          <cell r="W91">
            <v>314</v>
          </cell>
          <cell r="X91">
            <v>326</v>
          </cell>
          <cell r="Y91">
            <v>338</v>
          </cell>
          <cell r="Z91">
            <v>350</v>
          </cell>
          <cell r="AA91">
            <v>362</v>
          </cell>
          <cell r="AB91">
            <v>376</v>
          </cell>
          <cell r="AC91">
            <v>389</v>
          </cell>
          <cell r="AD91">
            <v>403</v>
          </cell>
          <cell r="AE91">
            <v>417</v>
          </cell>
          <cell r="AF91">
            <v>432</v>
          </cell>
          <cell r="AG91">
            <v>448</v>
          </cell>
          <cell r="AH91">
            <v>464</v>
          </cell>
          <cell r="AI91">
            <v>480</v>
          </cell>
          <cell r="AJ91">
            <v>497</v>
          </cell>
          <cell r="AK91">
            <v>515</v>
          </cell>
          <cell r="AL91">
            <v>533</v>
          </cell>
          <cell r="AM91">
            <v>551</v>
          </cell>
        </row>
        <row r="92">
          <cell r="A92" t="str">
            <v>ANTTP5C10</v>
          </cell>
          <cell r="B92">
            <v>5</v>
          </cell>
          <cell r="C92">
            <v>10</v>
          </cell>
          <cell r="D92" t="str">
            <v>caminhões 8 eixos</v>
          </cell>
          <cell r="G92">
            <v>0</v>
          </cell>
          <cell r="H92">
            <v>0</v>
          </cell>
          <cell r="I92">
            <v>0</v>
          </cell>
          <cell r="J92">
            <v>0</v>
          </cell>
          <cell r="K92">
            <v>0</v>
          </cell>
          <cell r="L92">
            <v>0</v>
          </cell>
          <cell r="M92">
            <v>0</v>
          </cell>
          <cell r="N92">
            <v>0</v>
          </cell>
          <cell r="O92">
            <v>0</v>
          </cell>
          <cell r="P92">
            <v>0</v>
          </cell>
          <cell r="Q92">
            <v>0</v>
          </cell>
          <cell r="R92">
            <v>0</v>
          </cell>
          <cell r="S92">
            <v>0</v>
          </cell>
          <cell r="T92">
            <v>0</v>
          </cell>
          <cell r="U92">
            <v>0</v>
          </cell>
          <cell r="V92">
            <v>0</v>
          </cell>
          <cell r="W92">
            <v>0</v>
          </cell>
          <cell r="X92">
            <v>0</v>
          </cell>
          <cell r="Y92">
            <v>0</v>
          </cell>
          <cell r="Z92">
            <v>0</v>
          </cell>
          <cell r="AA92">
            <v>0</v>
          </cell>
          <cell r="AB92">
            <v>0</v>
          </cell>
          <cell r="AC92">
            <v>0</v>
          </cell>
          <cell r="AD92">
            <v>0</v>
          </cell>
          <cell r="AE92">
            <v>0</v>
          </cell>
          <cell r="AF92">
            <v>0</v>
          </cell>
          <cell r="AG92">
            <v>0</v>
          </cell>
          <cell r="AH92">
            <v>0</v>
          </cell>
          <cell r="AI92">
            <v>0</v>
          </cell>
          <cell r="AJ92">
            <v>0</v>
          </cell>
          <cell r="AK92">
            <v>0</v>
          </cell>
          <cell r="AL92">
            <v>0</v>
          </cell>
          <cell r="AM92">
            <v>0</v>
          </cell>
        </row>
        <row r="93">
          <cell r="A93" t="str">
            <v>ANTTP5C11</v>
          </cell>
          <cell r="B93">
            <v>5</v>
          </cell>
          <cell r="C93">
            <v>11</v>
          </cell>
          <cell r="D93" t="str">
            <v>caminhões 9 eixos</v>
          </cell>
          <cell r="G93">
            <v>38</v>
          </cell>
          <cell r="H93">
            <v>40</v>
          </cell>
          <cell r="I93">
            <v>37</v>
          </cell>
          <cell r="J93">
            <v>38</v>
          </cell>
          <cell r="K93">
            <v>40</v>
          </cell>
          <cell r="L93">
            <v>42</v>
          </cell>
          <cell r="M93">
            <v>35</v>
          </cell>
          <cell r="N93">
            <v>37</v>
          </cell>
          <cell r="O93">
            <v>38</v>
          </cell>
          <cell r="P93">
            <v>40</v>
          </cell>
          <cell r="Q93">
            <v>42</v>
          </cell>
          <cell r="R93">
            <v>43</v>
          </cell>
          <cell r="S93">
            <v>45</v>
          </cell>
          <cell r="T93">
            <v>47</v>
          </cell>
          <cell r="U93">
            <v>49</v>
          </cell>
          <cell r="V93">
            <v>50</v>
          </cell>
          <cell r="W93">
            <v>52</v>
          </cell>
          <cell r="X93">
            <v>54</v>
          </cell>
          <cell r="Y93">
            <v>56</v>
          </cell>
          <cell r="Z93">
            <v>58</v>
          </cell>
          <cell r="AA93">
            <v>60</v>
          </cell>
          <cell r="AB93">
            <v>62</v>
          </cell>
          <cell r="AC93">
            <v>65</v>
          </cell>
          <cell r="AD93">
            <v>67</v>
          </cell>
          <cell r="AE93">
            <v>69</v>
          </cell>
          <cell r="AF93">
            <v>72</v>
          </cell>
          <cell r="AG93">
            <v>74</v>
          </cell>
          <cell r="AH93">
            <v>77</v>
          </cell>
          <cell r="AI93">
            <v>80</v>
          </cell>
          <cell r="AJ93">
            <v>83</v>
          </cell>
          <cell r="AK93">
            <v>86</v>
          </cell>
          <cell r="AL93">
            <v>89</v>
          </cell>
          <cell r="AM93">
            <v>92</v>
          </cell>
        </row>
        <row r="94">
          <cell r="A94" t="str">
            <v>ANTTP5C12</v>
          </cell>
          <cell r="B94">
            <v>5</v>
          </cell>
          <cell r="C94">
            <v>12</v>
          </cell>
          <cell r="D94" t="str">
            <v>caminhões 10 ou + eixos</v>
          </cell>
          <cell r="G94">
            <v>4</v>
          </cell>
          <cell r="H94">
            <v>4</v>
          </cell>
          <cell r="I94">
            <v>4</v>
          </cell>
          <cell r="J94">
            <v>4</v>
          </cell>
          <cell r="K94">
            <v>4</v>
          </cell>
          <cell r="L94">
            <v>5</v>
          </cell>
          <cell r="M94">
            <v>4</v>
          </cell>
          <cell r="N94">
            <v>4</v>
          </cell>
          <cell r="O94">
            <v>4</v>
          </cell>
          <cell r="P94">
            <v>4</v>
          </cell>
          <cell r="Q94">
            <v>5</v>
          </cell>
          <cell r="R94">
            <v>5</v>
          </cell>
          <cell r="S94">
            <v>5</v>
          </cell>
          <cell r="T94">
            <v>5</v>
          </cell>
          <cell r="U94">
            <v>5</v>
          </cell>
          <cell r="V94">
            <v>6</v>
          </cell>
          <cell r="W94">
            <v>6</v>
          </cell>
          <cell r="X94">
            <v>6</v>
          </cell>
          <cell r="Y94">
            <v>6</v>
          </cell>
          <cell r="Z94">
            <v>6</v>
          </cell>
          <cell r="AA94">
            <v>7</v>
          </cell>
          <cell r="AB94">
            <v>7</v>
          </cell>
          <cell r="AC94">
            <v>7</v>
          </cell>
          <cell r="AD94">
            <v>7</v>
          </cell>
          <cell r="AE94">
            <v>8</v>
          </cell>
          <cell r="AF94">
            <v>8</v>
          </cell>
          <cell r="AG94">
            <v>8</v>
          </cell>
          <cell r="AH94">
            <v>9</v>
          </cell>
          <cell r="AI94">
            <v>9</v>
          </cell>
          <cell r="AJ94">
            <v>9</v>
          </cell>
          <cell r="AK94">
            <v>10</v>
          </cell>
          <cell r="AL94">
            <v>11</v>
          </cell>
          <cell r="AM94">
            <v>12</v>
          </cell>
        </row>
        <row r="95">
          <cell r="A95" t="str">
            <v>ANTTP5C13</v>
          </cell>
          <cell r="B95">
            <v>5</v>
          </cell>
          <cell r="C95">
            <v>13</v>
          </cell>
          <cell r="D95" t="str">
            <v>motocicletas</v>
          </cell>
          <cell r="G95">
            <v>99</v>
          </cell>
          <cell r="H95">
            <v>102</v>
          </cell>
          <cell r="I95">
            <v>94</v>
          </cell>
          <cell r="J95">
            <v>98</v>
          </cell>
          <cell r="K95">
            <v>101</v>
          </cell>
          <cell r="L95">
            <v>105</v>
          </cell>
          <cell r="M95">
            <v>109</v>
          </cell>
          <cell r="N95">
            <v>114</v>
          </cell>
          <cell r="O95">
            <v>118</v>
          </cell>
          <cell r="P95">
            <v>123</v>
          </cell>
          <cell r="Q95">
            <v>128</v>
          </cell>
          <cell r="R95">
            <v>133</v>
          </cell>
          <cell r="S95">
            <v>138</v>
          </cell>
          <cell r="T95">
            <v>144</v>
          </cell>
          <cell r="U95">
            <v>149</v>
          </cell>
          <cell r="V95">
            <v>154</v>
          </cell>
          <cell r="W95">
            <v>160</v>
          </cell>
          <cell r="X95">
            <v>166</v>
          </cell>
          <cell r="Y95">
            <v>172</v>
          </cell>
          <cell r="Z95">
            <v>178</v>
          </cell>
          <cell r="AA95">
            <v>185</v>
          </cell>
          <cell r="AB95">
            <v>191</v>
          </cell>
          <cell r="AC95">
            <v>198</v>
          </cell>
          <cell r="AD95">
            <v>205</v>
          </cell>
          <cell r="AE95">
            <v>213</v>
          </cell>
          <cell r="AF95">
            <v>220</v>
          </cell>
          <cell r="AG95">
            <v>228</v>
          </cell>
          <cell r="AH95">
            <v>236</v>
          </cell>
          <cell r="AI95">
            <v>244</v>
          </cell>
          <cell r="AJ95">
            <v>253</v>
          </cell>
          <cell r="AK95">
            <v>262</v>
          </cell>
          <cell r="AL95">
            <v>271</v>
          </cell>
          <cell r="AM95">
            <v>280</v>
          </cell>
        </row>
        <row r="96">
          <cell r="D96" t="str">
            <v>Autos+motos</v>
          </cell>
          <cell r="G96">
            <v>4797</v>
          </cell>
          <cell r="H96">
            <v>4949</v>
          </cell>
          <cell r="I96">
            <v>4663</v>
          </cell>
          <cell r="J96">
            <v>4832</v>
          </cell>
          <cell r="K96">
            <v>5006</v>
          </cell>
          <cell r="L96">
            <v>5187</v>
          </cell>
        </row>
        <row r="97">
          <cell r="B97" t="str">
            <v>Praça 6</v>
          </cell>
        </row>
        <row r="98">
          <cell r="B98">
            <v>6</v>
          </cell>
          <cell r="E98" t="str">
            <v>VDMAeq</v>
          </cell>
          <cell r="G98">
            <v>29464</v>
          </cell>
          <cell r="H98">
            <v>30600</v>
          </cell>
          <cell r="I98">
            <v>28941</v>
          </cell>
          <cell r="J98">
            <v>30177</v>
          </cell>
          <cell r="K98">
            <v>31467</v>
          </cell>
          <cell r="L98">
            <v>32814</v>
          </cell>
          <cell r="M98">
            <v>30409</v>
          </cell>
          <cell r="N98">
            <v>31638</v>
          </cell>
          <cell r="O98">
            <v>32916</v>
          </cell>
          <cell r="P98">
            <v>34247</v>
          </cell>
          <cell r="Q98">
            <v>35632</v>
          </cell>
          <cell r="R98">
            <v>37074</v>
          </cell>
          <cell r="S98">
            <v>38448</v>
          </cell>
          <cell r="T98">
            <v>39873</v>
          </cell>
          <cell r="U98">
            <v>41351</v>
          </cell>
          <cell r="V98">
            <v>42884</v>
          </cell>
          <cell r="W98">
            <v>44473</v>
          </cell>
          <cell r="X98">
            <v>46083</v>
          </cell>
          <cell r="Y98">
            <v>47750</v>
          </cell>
          <cell r="Z98">
            <v>49479</v>
          </cell>
          <cell r="AA98">
            <v>51269</v>
          </cell>
          <cell r="AB98">
            <v>53125</v>
          </cell>
          <cell r="AC98">
            <v>55026</v>
          </cell>
          <cell r="AD98">
            <v>56994</v>
          </cell>
          <cell r="AE98">
            <v>59034</v>
          </cell>
          <cell r="AF98">
            <v>61146</v>
          </cell>
          <cell r="AG98">
            <v>63334</v>
          </cell>
          <cell r="AH98">
            <v>65579</v>
          </cell>
          <cell r="AI98">
            <v>67903</v>
          </cell>
          <cell r="AJ98">
            <v>70309</v>
          </cell>
          <cell r="AK98">
            <v>72801</v>
          </cell>
          <cell r="AL98">
            <v>75293</v>
          </cell>
          <cell r="AM98">
            <v>77785</v>
          </cell>
        </row>
        <row r="99">
          <cell r="B99" t="str">
            <v>Praça</v>
          </cell>
          <cell r="C99" t="str">
            <v xml:space="preserve"> Categoria de veículo</v>
          </cell>
          <cell r="E99" t="str">
            <v>VDMA</v>
          </cell>
          <cell r="G99">
            <v>14421</v>
          </cell>
          <cell r="H99">
            <v>14917</v>
          </cell>
          <cell r="I99">
            <v>14148</v>
          </cell>
          <cell r="J99">
            <v>14696</v>
          </cell>
          <cell r="K99">
            <v>15266</v>
          </cell>
          <cell r="L99">
            <v>15858</v>
          </cell>
          <cell r="M99">
            <v>15742</v>
          </cell>
          <cell r="N99">
            <v>16354</v>
          </cell>
          <cell r="O99">
            <v>16989</v>
          </cell>
          <cell r="P99">
            <v>17649</v>
          </cell>
          <cell r="Q99">
            <v>18335</v>
          </cell>
          <cell r="R99">
            <v>19048</v>
          </cell>
          <cell r="S99">
            <v>19750</v>
          </cell>
          <cell r="T99">
            <v>20479</v>
          </cell>
          <cell r="U99">
            <v>21234</v>
          </cell>
          <cell r="V99">
            <v>22018</v>
          </cell>
          <cell r="W99">
            <v>22830</v>
          </cell>
          <cell r="X99">
            <v>23656</v>
          </cell>
          <cell r="Y99">
            <v>24511</v>
          </cell>
          <cell r="Z99">
            <v>25398</v>
          </cell>
          <cell r="AA99">
            <v>26317</v>
          </cell>
          <cell r="AB99">
            <v>27269</v>
          </cell>
          <cell r="AC99">
            <v>28245</v>
          </cell>
          <cell r="AD99">
            <v>29256</v>
          </cell>
          <cell r="AE99">
            <v>30303</v>
          </cell>
          <cell r="AF99">
            <v>31387</v>
          </cell>
          <cell r="AG99">
            <v>32510</v>
          </cell>
          <cell r="AH99">
            <v>33662</v>
          </cell>
          <cell r="AI99">
            <v>34855</v>
          </cell>
          <cell r="AJ99">
            <v>36090</v>
          </cell>
          <cell r="AK99">
            <v>37369</v>
          </cell>
          <cell r="AL99">
            <v>38648</v>
          </cell>
          <cell r="AM99">
            <v>39927</v>
          </cell>
        </row>
        <row r="100">
          <cell r="A100" t="str">
            <v>ANTTP6C1</v>
          </cell>
          <cell r="B100">
            <v>6</v>
          </cell>
          <cell r="C100">
            <v>1</v>
          </cell>
          <cell r="D100" t="str">
            <v>automóveis</v>
          </cell>
          <cell r="G100">
            <v>8197</v>
          </cell>
          <cell r="H100">
            <v>8457</v>
          </cell>
          <cell r="I100">
            <v>8049</v>
          </cell>
          <cell r="J100">
            <v>8341</v>
          </cell>
          <cell r="K100">
            <v>8643</v>
          </cell>
          <cell r="L100">
            <v>8956</v>
          </cell>
          <cell r="M100">
            <v>9285</v>
          </cell>
          <cell r="N100">
            <v>9638</v>
          </cell>
          <cell r="O100">
            <v>10005</v>
          </cell>
          <cell r="P100">
            <v>10386</v>
          </cell>
          <cell r="Q100">
            <v>10781</v>
          </cell>
          <cell r="R100">
            <v>11191</v>
          </cell>
          <cell r="S100">
            <v>11603</v>
          </cell>
          <cell r="T100">
            <v>12030</v>
          </cell>
          <cell r="U100">
            <v>12472</v>
          </cell>
          <cell r="V100">
            <v>12931</v>
          </cell>
          <cell r="W100">
            <v>13407</v>
          </cell>
          <cell r="X100">
            <v>13892</v>
          </cell>
          <cell r="Y100">
            <v>14395</v>
          </cell>
          <cell r="Z100">
            <v>14916</v>
          </cell>
          <cell r="AA100">
            <v>15455</v>
          </cell>
          <cell r="AB100">
            <v>16014</v>
          </cell>
          <cell r="AC100">
            <v>16587</v>
          </cell>
          <cell r="AD100">
            <v>17181</v>
          </cell>
          <cell r="AE100">
            <v>17796</v>
          </cell>
          <cell r="AF100">
            <v>18432</v>
          </cell>
          <cell r="AG100">
            <v>19092</v>
          </cell>
          <cell r="AH100">
            <v>19768</v>
          </cell>
          <cell r="AI100">
            <v>20469</v>
          </cell>
          <cell r="AJ100">
            <v>21194</v>
          </cell>
          <cell r="AK100">
            <v>21946</v>
          </cell>
          <cell r="AL100">
            <v>22698</v>
          </cell>
          <cell r="AM100">
            <v>23450</v>
          </cell>
        </row>
        <row r="101">
          <cell r="A101" t="str">
            <v>ANTTP6C2</v>
          </cell>
          <cell r="B101">
            <v>6</v>
          </cell>
          <cell r="C101">
            <v>2</v>
          </cell>
          <cell r="D101" t="str">
            <v>automóveis+semi-reboques</v>
          </cell>
          <cell r="G101">
            <v>99</v>
          </cell>
          <cell r="H101">
            <v>102</v>
          </cell>
          <cell r="I101">
            <v>97</v>
          </cell>
          <cell r="J101">
            <v>100</v>
          </cell>
          <cell r="K101">
            <v>104</v>
          </cell>
          <cell r="L101">
            <v>108</v>
          </cell>
          <cell r="M101">
            <v>112</v>
          </cell>
          <cell r="N101">
            <v>116</v>
          </cell>
          <cell r="O101">
            <v>121</v>
          </cell>
          <cell r="P101">
            <v>125</v>
          </cell>
          <cell r="Q101">
            <v>130</v>
          </cell>
          <cell r="R101">
            <v>135</v>
          </cell>
          <cell r="S101">
            <v>140</v>
          </cell>
          <cell r="T101">
            <v>145</v>
          </cell>
          <cell r="U101">
            <v>150</v>
          </cell>
          <cell r="V101">
            <v>156</v>
          </cell>
          <cell r="W101">
            <v>161</v>
          </cell>
          <cell r="X101">
            <v>167</v>
          </cell>
          <cell r="Y101">
            <v>173</v>
          </cell>
          <cell r="Z101">
            <v>180</v>
          </cell>
          <cell r="AA101">
            <v>186</v>
          </cell>
          <cell r="AB101">
            <v>193</v>
          </cell>
          <cell r="AC101">
            <v>200</v>
          </cell>
          <cell r="AD101">
            <v>207</v>
          </cell>
          <cell r="AE101">
            <v>214</v>
          </cell>
          <cell r="AF101">
            <v>222</v>
          </cell>
          <cell r="AG101">
            <v>230</v>
          </cell>
          <cell r="AH101">
            <v>238</v>
          </cell>
          <cell r="AI101">
            <v>247</v>
          </cell>
          <cell r="AJ101">
            <v>255</v>
          </cell>
          <cell r="AK101">
            <v>264</v>
          </cell>
          <cell r="AL101">
            <v>273</v>
          </cell>
          <cell r="AM101">
            <v>282</v>
          </cell>
        </row>
        <row r="102">
          <cell r="A102" t="str">
            <v>ANTTP6C3</v>
          </cell>
          <cell r="B102">
            <v>6</v>
          </cell>
          <cell r="C102">
            <v>3</v>
          </cell>
          <cell r="D102" t="str">
            <v>automóveis+reboques</v>
          </cell>
          <cell r="G102">
            <v>25</v>
          </cell>
          <cell r="H102">
            <v>25</v>
          </cell>
          <cell r="I102">
            <v>24</v>
          </cell>
          <cell r="J102">
            <v>25</v>
          </cell>
          <cell r="K102">
            <v>26</v>
          </cell>
          <cell r="L102">
            <v>27</v>
          </cell>
          <cell r="M102">
            <v>28</v>
          </cell>
          <cell r="N102">
            <v>29</v>
          </cell>
          <cell r="O102">
            <v>30</v>
          </cell>
          <cell r="P102">
            <v>31</v>
          </cell>
          <cell r="Q102">
            <v>32</v>
          </cell>
          <cell r="R102">
            <v>34</v>
          </cell>
          <cell r="S102">
            <v>35</v>
          </cell>
          <cell r="T102">
            <v>36</v>
          </cell>
          <cell r="U102">
            <v>38</v>
          </cell>
          <cell r="V102">
            <v>39</v>
          </cell>
          <cell r="W102">
            <v>40</v>
          </cell>
          <cell r="X102">
            <v>42</v>
          </cell>
          <cell r="Y102">
            <v>43</v>
          </cell>
          <cell r="Z102">
            <v>45</v>
          </cell>
          <cell r="AA102">
            <v>47</v>
          </cell>
          <cell r="AB102">
            <v>48</v>
          </cell>
          <cell r="AC102">
            <v>50</v>
          </cell>
          <cell r="AD102">
            <v>52</v>
          </cell>
          <cell r="AE102">
            <v>54</v>
          </cell>
          <cell r="AF102">
            <v>56</v>
          </cell>
          <cell r="AG102">
            <v>57</v>
          </cell>
          <cell r="AH102">
            <v>60</v>
          </cell>
          <cell r="AI102">
            <v>62</v>
          </cell>
          <cell r="AJ102">
            <v>64</v>
          </cell>
          <cell r="AK102">
            <v>66</v>
          </cell>
          <cell r="AL102">
            <v>68</v>
          </cell>
          <cell r="AM102">
            <v>70</v>
          </cell>
        </row>
        <row r="103">
          <cell r="A103" t="str">
            <v>ANTTP6C4</v>
          </cell>
          <cell r="B103">
            <v>6</v>
          </cell>
          <cell r="C103">
            <v>4</v>
          </cell>
          <cell r="D103" t="str">
            <v>veículos comerciais 2 eixos</v>
          </cell>
          <cell r="G103">
            <v>1952</v>
          </cell>
          <cell r="H103">
            <v>2015</v>
          </cell>
          <cell r="I103">
            <v>1907</v>
          </cell>
          <cell r="J103">
            <v>1976</v>
          </cell>
          <cell r="K103">
            <v>2048</v>
          </cell>
          <cell r="L103">
            <v>2121</v>
          </cell>
          <cell r="M103">
            <v>2198</v>
          </cell>
          <cell r="N103">
            <v>2279</v>
          </cell>
          <cell r="O103">
            <v>2364</v>
          </cell>
          <cell r="P103">
            <v>2452</v>
          </cell>
          <cell r="Q103">
            <v>2543</v>
          </cell>
          <cell r="R103">
            <v>2637</v>
          </cell>
          <cell r="S103">
            <v>2734</v>
          </cell>
          <cell r="T103">
            <v>2834</v>
          </cell>
          <cell r="U103">
            <v>2938</v>
          </cell>
          <cell r="V103">
            <v>3045</v>
          </cell>
          <cell r="W103">
            <v>3157</v>
          </cell>
          <cell r="X103">
            <v>3271</v>
          </cell>
          <cell r="Y103">
            <v>3389</v>
          </cell>
          <cell r="Z103">
            <v>3512</v>
          </cell>
          <cell r="AA103">
            <v>3639</v>
          </cell>
          <cell r="AB103">
            <v>3771</v>
          </cell>
          <cell r="AC103">
            <v>3906</v>
          </cell>
          <cell r="AD103">
            <v>4045</v>
          </cell>
          <cell r="AE103">
            <v>4190</v>
          </cell>
          <cell r="AF103">
            <v>4340</v>
          </cell>
          <cell r="AG103">
            <v>4495</v>
          </cell>
          <cell r="AH103">
            <v>4655</v>
          </cell>
          <cell r="AI103">
            <v>4820</v>
          </cell>
          <cell r="AJ103">
            <v>4990</v>
          </cell>
          <cell r="AK103">
            <v>5167</v>
          </cell>
          <cell r="AL103">
            <v>5344</v>
          </cell>
          <cell r="AM103">
            <v>5521</v>
          </cell>
        </row>
        <row r="104">
          <cell r="A104" t="str">
            <v>ANTTP6C5</v>
          </cell>
          <cell r="B104">
            <v>6</v>
          </cell>
          <cell r="C104">
            <v>5</v>
          </cell>
          <cell r="D104" t="str">
            <v>veículos comerciais 3 eixos</v>
          </cell>
          <cell r="G104">
            <v>1285</v>
          </cell>
          <cell r="H104">
            <v>1328</v>
          </cell>
          <cell r="I104">
            <v>1259</v>
          </cell>
          <cell r="J104">
            <v>1306</v>
          </cell>
          <cell r="K104">
            <v>1354</v>
          </cell>
          <cell r="L104">
            <v>1404</v>
          </cell>
          <cell r="M104">
            <v>1456</v>
          </cell>
          <cell r="N104">
            <v>1511</v>
          </cell>
          <cell r="O104">
            <v>1567</v>
          </cell>
          <cell r="P104">
            <v>1626</v>
          </cell>
          <cell r="Q104">
            <v>1687</v>
          </cell>
          <cell r="R104">
            <v>1750</v>
          </cell>
          <cell r="S104">
            <v>1814</v>
          </cell>
          <cell r="T104">
            <v>1880</v>
          </cell>
          <cell r="U104">
            <v>1949</v>
          </cell>
          <cell r="V104">
            <v>2021</v>
          </cell>
          <cell r="W104">
            <v>2095</v>
          </cell>
          <cell r="X104">
            <v>2171</v>
          </cell>
          <cell r="Y104">
            <v>2249</v>
          </cell>
          <cell r="Z104">
            <v>2331</v>
          </cell>
          <cell r="AA104">
            <v>2415</v>
          </cell>
          <cell r="AB104">
            <v>2502</v>
          </cell>
          <cell r="AC104">
            <v>2592</v>
          </cell>
          <cell r="AD104">
            <v>2684</v>
          </cell>
          <cell r="AE104">
            <v>2780</v>
          </cell>
          <cell r="AF104">
            <v>2880</v>
          </cell>
          <cell r="AG104">
            <v>2983</v>
          </cell>
          <cell r="AH104">
            <v>3089</v>
          </cell>
          <cell r="AI104">
            <v>3198</v>
          </cell>
          <cell r="AJ104">
            <v>3312</v>
          </cell>
          <cell r="AK104">
            <v>3429</v>
          </cell>
          <cell r="AL104">
            <v>3546</v>
          </cell>
          <cell r="AM104">
            <v>3663</v>
          </cell>
        </row>
        <row r="105">
          <cell r="A105" t="str">
            <v>ANTTP6C6</v>
          </cell>
          <cell r="B105">
            <v>6</v>
          </cell>
          <cell r="C105">
            <v>6</v>
          </cell>
          <cell r="D105" t="str">
            <v>veículos comerciais 4 eixos</v>
          </cell>
          <cell r="G105">
            <v>775</v>
          </cell>
          <cell r="H105">
            <v>810</v>
          </cell>
          <cell r="I105">
            <v>762</v>
          </cell>
          <cell r="J105">
            <v>800</v>
          </cell>
          <cell r="K105">
            <v>840</v>
          </cell>
          <cell r="L105">
            <v>882</v>
          </cell>
          <cell r="M105">
            <v>674</v>
          </cell>
          <cell r="N105">
            <v>704</v>
          </cell>
          <cell r="O105">
            <v>735</v>
          </cell>
          <cell r="P105">
            <v>768</v>
          </cell>
          <cell r="Q105">
            <v>802</v>
          </cell>
          <cell r="R105">
            <v>837</v>
          </cell>
          <cell r="S105">
            <v>869</v>
          </cell>
          <cell r="T105">
            <v>901</v>
          </cell>
          <cell r="U105">
            <v>935</v>
          </cell>
          <cell r="V105">
            <v>970</v>
          </cell>
          <cell r="W105">
            <v>1007</v>
          </cell>
          <cell r="X105">
            <v>1043</v>
          </cell>
          <cell r="Y105">
            <v>1081</v>
          </cell>
          <cell r="Z105">
            <v>1120</v>
          </cell>
          <cell r="AA105">
            <v>1161</v>
          </cell>
          <cell r="AB105">
            <v>1203</v>
          </cell>
          <cell r="AC105">
            <v>1246</v>
          </cell>
          <cell r="AD105">
            <v>1291</v>
          </cell>
          <cell r="AE105">
            <v>1337</v>
          </cell>
          <cell r="AF105">
            <v>1385</v>
          </cell>
          <cell r="AG105">
            <v>1434</v>
          </cell>
          <cell r="AH105">
            <v>1485</v>
          </cell>
          <cell r="AI105">
            <v>1538</v>
          </cell>
          <cell r="AJ105">
            <v>1592</v>
          </cell>
          <cell r="AK105">
            <v>1648</v>
          </cell>
          <cell r="AL105">
            <v>1704</v>
          </cell>
          <cell r="AM105">
            <v>1760</v>
          </cell>
        </row>
        <row r="106">
          <cell r="A106" t="str">
            <v>ANTTP6C7</v>
          </cell>
          <cell r="B106">
            <v>6</v>
          </cell>
          <cell r="C106">
            <v>7</v>
          </cell>
          <cell r="D106" t="str">
            <v>caminhões 5 eixos</v>
          </cell>
          <cell r="G106">
            <v>582</v>
          </cell>
          <cell r="H106">
            <v>608</v>
          </cell>
          <cell r="I106">
            <v>572</v>
          </cell>
          <cell r="J106">
            <v>601</v>
          </cell>
          <cell r="K106">
            <v>630</v>
          </cell>
          <cell r="L106">
            <v>662</v>
          </cell>
          <cell r="M106">
            <v>506</v>
          </cell>
          <cell r="N106">
            <v>528</v>
          </cell>
          <cell r="O106">
            <v>552</v>
          </cell>
          <cell r="P106">
            <v>576</v>
          </cell>
          <cell r="Q106">
            <v>602</v>
          </cell>
          <cell r="R106">
            <v>628</v>
          </cell>
          <cell r="S106">
            <v>652</v>
          </cell>
          <cell r="T106">
            <v>677</v>
          </cell>
          <cell r="U106">
            <v>702</v>
          </cell>
          <cell r="V106">
            <v>728</v>
          </cell>
          <cell r="W106">
            <v>756</v>
          </cell>
          <cell r="X106">
            <v>783</v>
          </cell>
          <cell r="Y106">
            <v>811</v>
          </cell>
          <cell r="Z106">
            <v>841</v>
          </cell>
          <cell r="AA106">
            <v>871</v>
          </cell>
          <cell r="AB106">
            <v>903</v>
          </cell>
          <cell r="AC106">
            <v>935</v>
          </cell>
          <cell r="AD106">
            <v>969</v>
          </cell>
          <cell r="AE106">
            <v>1003</v>
          </cell>
          <cell r="AF106">
            <v>1039</v>
          </cell>
          <cell r="AG106">
            <v>1076</v>
          </cell>
          <cell r="AH106">
            <v>1114</v>
          </cell>
          <cell r="AI106">
            <v>1154</v>
          </cell>
          <cell r="AJ106">
            <v>1195</v>
          </cell>
          <cell r="AK106">
            <v>1237</v>
          </cell>
          <cell r="AL106">
            <v>1279</v>
          </cell>
          <cell r="AM106">
            <v>1321</v>
          </cell>
        </row>
        <row r="107">
          <cell r="A107" t="str">
            <v>ANTTP6C8</v>
          </cell>
          <cell r="B107">
            <v>6</v>
          </cell>
          <cell r="C107">
            <v>8</v>
          </cell>
          <cell r="D107" t="str">
            <v>caminhões 6 eixos</v>
          </cell>
          <cell r="G107">
            <v>651</v>
          </cell>
          <cell r="H107">
            <v>683</v>
          </cell>
          <cell r="I107">
            <v>644</v>
          </cell>
          <cell r="J107">
            <v>678</v>
          </cell>
          <cell r="K107">
            <v>713</v>
          </cell>
          <cell r="L107">
            <v>750</v>
          </cell>
          <cell r="M107">
            <v>574</v>
          </cell>
          <cell r="N107">
            <v>600</v>
          </cell>
          <cell r="O107">
            <v>627</v>
          </cell>
          <cell r="P107">
            <v>655</v>
          </cell>
          <cell r="Q107">
            <v>685</v>
          </cell>
          <cell r="R107">
            <v>715</v>
          </cell>
          <cell r="S107">
            <v>742</v>
          </cell>
          <cell r="T107">
            <v>770</v>
          </cell>
          <cell r="U107">
            <v>799</v>
          </cell>
          <cell r="V107">
            <v>829</v>
          </cell>
          <cell r="W107">
            <v>860</v>
          </cell>
          <cell r="X107">
            <v>891</v>
          </cell>
          <cell r="Y107">
            <v>924</v>
          </cell>
          <cell r="Z107">
            <v>957</v>
          </cell>
          <cell r="AA107">
            <v>992</v>
          </cell>
          <cell r="AB107">
            <v>1028</v>
          </cell>
          <cell r="AC107">
            <v>1064</v>
          </cell>
          <cell r="AD107">
            <v>1102</v>
          </cell>
          <cell r="AE107">
            <v>1142</v>
          </cell>
          <cell r="AF107">
            <v>1183</v>
          </cell>
          <cell r="AG107">
            <v>1225</v>
          </cell>
          <cell r="AH107">
            <v>1268</v>
          </cell>
          <cell r="AI107">
            <v>1313</v>
          </cell>
          <cell r="AJ107">
            <v>1360</v>
          </cell>
          <cell r="AK107">
            <v>1408</v>
          </cell>
          <cell r="AL107">
            <v>1456</v>
          </cell>
          <cell r="AM107">
            <v>1504</v>
          </cell>
        </row>
        <row r="108">
          <cell r="A108" t="str">
            <v>ANTTP6C9</v>
          </cell>
          <cell r="B108">
            <v>6</v>
          </cell>
          <cell r="C108">
            <v>9</v>
          </cell>
          <cell r="D108" t="str">
            <v>caminhões 7 eixos</v>
          </cell>
          <cell r="G108">
            <v>367</v>
          </cell>
          <cell r="H108">
            <v>383</v>
          </cell>
          <cell r="I108">
            <v>361</v>
          </cell>
          <cell r="J108">
            <v>379</v>
          </cell>
          <cell r="K108">
            <v>397</v>
          </cell>
          <cell r="L108">
            <v>417</v>
          </cell>
          <cell r="M108">
            <v>372</v>
          </cell>
          <cell r="N108">
            <v>389</v>
          </cell>
          <cell r="O108">
            <v>406</v>
          </cell>
          <cell r="P108">
            <v>424</v>
          </cell>
          <cell r="Q108">
            <v>443</v>
          </cell>
          <cell r="R108">
            <v>463</v>
          </cell>
          <cell r="S108">
            <v>481</v>
          </cell>
          <cell r="T108">
            <v>499</v>
          </cell>
          <cell r="U108">
            <v>517</v>
          </cell>
          <cell r="V108">
            <v>537</v>
          </cell>
          <cell r="W108">
            <v>557</v>
          </cell>
          <cell r="X108">
            <v>577</v>
          </cell>
          <cell r="Y108">
            <v>598</v>
          </cell>
          <cell r="Z108">
            <v>620</v>
          </cell>
          <cell r="AA108">
            <v>642</v>
          </cell>
          <cell r="AB108">
            <v>665</v>
          </cell>
          <cell r="AC108">
            <v>689</v>
          </cell>
          <cell r="AD108">
            <v>714</v>
          </cell>
          <cell r="AE108">
            <v>739</v>
          </cell>
          <cell r="AF108">
            <v>766</v>
          </cell>
          <cell r="AG108">
            <v>793</v>
          </cell>
          <cell r="AH108">
            <v>821</v>
          </cell>
          <cell r="AI108">
            <v>850</v>
          </cell>
          <cell r="AJ108">
            <v>881</v>
          </cell>
          <cell r="AK108">
            <v>912</v>
          </cell>
          <cell r="AL108">
            <v>943</v>
          </cell>
          <cell r="AM108">
            <v>974</v>
          </cell>
        </row>
        <row r="109">
          <cell r="A109" t="str">
            <v>ANTTP6C10</v>
          </cell>
          <cell r="B109">
            <v>6</v>
          </cell>
          <cell r="C109">
            <v>10</v>
          </cell>
          <cell r="D109" t="str">
            <v>caminhões 8 eixos</v>
          </cell>
          <cell r="G109">
            <v>0</v>
          </cell>
          <cell r="H109">
            <v>0</v>
          </cell>
          <cell r="I109">
            <v>0</v>
          </cell>
          <cell r="J109">
            <v>0</v>
          </cell>
          <cell r="K109">
            <v>0</v>
          </cell>
          <cell r="L109">
            <v>0</v>
          </cell>
          <cell r="M109">
            <v>0</v>
          </cell>
          <cell r="N109">
            <v>0</v>
          </cell>
          <cell r="O109">
            <v>0</v>
          </cell>
          <cell r="P109">
            <v>0</v>
          </cell>
          <cell r="Q109">
            <v>0</v>
          </cell>
          <cell r="R109">
            <v>0</v>
          </cell>
          <cell r="S109">
            <v>0</v>
          </cell>
          <cell r="T109">
            <v>0</v>
          </cell>
          <cell r="U109">
            <v>0</v>
          </cell>
          <cell r="V109">
            <v>0</v>
          </cell>
          <cell r="W109">
            <v>0</v>
          </cell>
          <cell r="X109">
            <v>0</v>
          </cell>
          <cell r="Y109">
            <v>0</v>
          </cell>
          <cell r="Z109">
            <v>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row>
        <row r="110">
          <cell r="A110" t="str">
            <v>ANTTP6C11</v>
          </cell>
          <cell r="B110">
            <v>6</v>
          </cell>
          <cell r="C110">
            <v>11</v>
          </cell>
          <cell r="D110" t="str">
            <v>caminhões 9 eixos</v>
          </cell>
          <cell r="G110">
            <v>61</v>
          </cell>
          <cell r="H110">
            <v>64</v>
          </cell>
          <cell r="I110">
            <v>60</v>
          </cell>
          <cell r="J110">
            <v>63</v>
          </cell>
          <cell r="K110">
            <v>66</v>
          </cell>
          <cell r="L110">
            <v>69</v>
          </cell>
          <cell r="M110">
            <v>62</v>
          </cell>
          <cell r="N110">
            <v>65</v>
          </cell>
          <cell r="O110">
            <v>68</v>
          </cell>
          <cell r="P110">
            <v>71</v>
          </cell>
          <cell r="Q110">
            <v>74</v>
          </cell>
          <cell r="R110">
            <v>77</v>
          </cell>
          <cell r="S110">
            <v>80</v>
          </cell>
          <cell r="T110">
            <v>83</v>
          </cell>
          <cell r="U110">
            <v>86</v>
          </cell>
          <cell r="V110">
            <v>89</v>
          </cell>
          <cell r="W110">
            <v>93</v>
          </cell>
          <cell r="X110">
            <v>96</v>
          </cell>
          <cell r="Y110">
            <v>99</v>
          </cell>
          <cell r="Z110">
            <v>103</v>
          </cell>
          <cell r="AA110">
            <v>107</v>
          </cell>
          <cell r="AB110">
            <v>111</v>
          </cell>
          <cell r="AC110">
            <v>115</v>
          </cell>
          <cell r="AD110">
            <v>119</v>
          </cell>
          <cell r="AE110">
            <v>123</v>
          </cell>
          <cell r="AF110">
            <v>127</v>
          </cell>
          <cell r="AG110">
            <v>132</v>
          </cell>
          <cell r="AH110">
            <v>137</v>
          </cell>
          <cell r="AI110">
            <v>141</v>
          </cell>
          <cell r="AJ110">
            <v>146</v>
          </cell>
          <cell r="AK110">
            <v>152</v>
          </cell>
          <cell r="AL110">
            <v>158</v>
          </cell>
          <cell r="AM110">
            <v>164</v>
          </cell>
        </row>
        <row r="111">
          <cell r="A111" t="str">
            <v>ANTTP6C12</v>
          </cell>
          <cell r="B111">
            <v>6</v>
          </cell>
          <cell r="C111">
            <v>12</v>
          </cell>
          <cell r="D111" t="str">
            <v>caminhões 10 ou + eixos</v>
          </cell>
          <cell r="G111">
            <v>7</v>
          </cell>
          <cell r="H111">
            <v>7</v>
          </cell>
          <cell r="I111">
            <v>7</v>
          </cell>
          <cell r="J111">
            <v>7</v>
          </cell>
          <cell r="K111">
            <v>7</v>
          </cell>
          <cell r="L111">
            <v>8</v>
          </cell>
          <cell r="M111">
            <v>7</v>
          </cell>
          <cell r="N111">
            <v>7</v>
          </cell>
          <cell r="O111">
            <v>8</v>
          </cell>
          <cell r="P111">
            <v>8</v>
          </cell>
          <cell r="Q111">
            <v>8</v>
          </cell>
          <cell r="R111">
            <v>9</v>
          </cell>
          <cell r="S111">
            <v>9</v>
          </cell>
          <cell r="T111">
            <v>9</v>
          </cell>
          <cell r="U111">
            <v>10</v>
          </cell>
          <cell r="V111">
            <v>10</v>
          </cell>
          <cell r="W111">
            <v>10</v>
          </cell>
          <cell r="X111">
            <v>11</v>
          </cell>
          <cell r="Y111">
            <v>11</v>
          </cell>
          <cell r="Z111">
            <v>11</v>
          </cell>
          <cell r="AA111">
            <v>12</v>
          </cell>
          <cell r="AB111">
            <v>12</v>
          </cell>
          <cell r="AC111">
            <v>13</v>
          </cell>
          <cell r="AD111">
            <v>13</v>
          </cell>
          <cell r="AE111">
            <v>14</v>
          </cell>
          <cell r="AF111">
            <v>14</v>
          </cell>
          <cell r="AG111">
            <v>15</v>
          </cell>
          <cell r="AH111">
            <v>15</v>
          </cell>
          <cell r="AI111">
            <v>16</v>
          </cell>
          <cell r="AJ111">
            <v>16</v>
          </cell>
          <cell r="AK111">
            <v>17</v>
          </cell>
          <cell r="AL111">
            <v>18</v>
          </cell>
          <cell r="AM111">
            <v>19</v>
          </cell>
        </row>
        <row r="112">
          <cell r="A112" t="str">
            <v>ANTTP6C13</v>
          </cell>
          <cell r="B112">
            <v>6</v>
          </cell>
          <cell r="C112">
            <v>13</v>
          </cell>
          <cell r="D112" t="str">
            <v>motocicletas</v>
          </cell>
          <cell r="G112">
            <v>421</v>
          </cell>
          <cell r="H112">
            <v>434</v>
          </cell>
          <cell r="I112">
            <v>406</v>
          </cell>
          <cell r="J112">
            <v>421</v>
          </cell>
          <cell r="K112">
            <v>437</v>
          </cell>
          <cell r="L112">
            <v>454</v>
          </cell>
          <cell r="M112">
            <v>469</v>
          </cell>
          <cell r="N112">
            <v>488</v>
          </cell>
          <cell r="O112">
            <v>508</v>
          </cell>
          <cell r="P112">
            <v>528</v>
          </cell>
          <cell r="Q112">
            <v>550</v>
          </cell>
          <cell r="R112">
            <v>572</v>
          </cell>
          <cell r="S112">
            <v>593</v>
          </cell>
          <cell r="T112">
            <v>615</v>
          </cell>
          <cell r="U112">
            <v>638</v>
          </cell>
          <cell r="V112">
            <v>662</v>
          </cell>
          <cell r="W112">
            <v>686</v>
          </cell>
          <cell r="X112">
            <v>711</v>
          </cell>
          <cell r="Y112">
            <v>737</v>
          </cell>
          <cell r="Z112">
            <v>763</v>
          </cell>
          <cell r="AA112">
            <v>791</v>
          </cell>
          <cell r="AB112">
            <v>820</v>
          </cell>
          <cell r="AC112">
            <v>849</v>
          </cell>
          <cell r="AD112">
            <v>879</v>
          </cell>
          <cell r="AE112">
            <v>911</v>
          </cell>
          <cell r="AF112">
            <v>943</v>
          </cell>
          <cell r="AG112">
            <v>977</v>
          </cell>
          <cell r="AH112">
            <v>1012</v>
          </cell>
          <cell r="AI112">
            <v>1048</v>
          </cell>
          <cell r="AJ112">
            <v>1085</v>
          </cell>
          <cell r="AK112">
            <v>1123</v>
          </cell>
          <cell r="AL112">
            <v>1161</v>
          </cell>
          <cell r="AM112">
            <v>1199</v>
          </cell>
        </row>
        <row r="113">
          <cell r="D113" t="str">
            <v>Autos+motos</v>
          </cell>
          <cell r="G113">
            <v>8742</v>
          </cell>
          <cell r="H113">
            <v>9018</v>
          </cell>
          <cell r="I113">
            <v>8576</v>
          </cell>
          <cell r="J113">
            <v>8887</v>
          </cell>
          <cell r="K113">
            <v>9210</v>
          </cell>
          <cell r="L113">
            <v>9545</v>
          </cell>
        </row>
        <row r="115">
          <cell r="A115" t="str">
            <v>TOT1</v>
          </cell>
          <cell r="C115">
            <v>1</v>
          </cell>
          <cell r="G115">
            <v>29670</v>
          </cell>
          <cell r="H115">
            <v>30637</v>
          </cell>
          <cell r="I115">
            <v>29789</v>
          </cell>
          <cell r="J115">
            <v>30888</v>
          </cell>
          <cell r="K115">
            <v>32023</v>
          </cell>
          <cell r="L115">
            <v>33202</v>
          </cell>
          <cell r="M115">
            <v>34436</v>
          </cell>
          <cell r="N115">
            <v>35751</v>
          </cell>
          <cell r="O115">
            <v>37116</v>
          </cell>
          <cell r="P115">
            <v>38533</v>
          </cell>
          <cell r="Q115">
            <v>40005</v>
          </cell>
          <cell r="R115">
            <v>41531</v>
          </cell>
          <cell r="S115">
            <v>43060</v>
          </cell>
          <cell r="T115">
            <v>44646</v>
          </cell>
          <cell r="U115">
            <v>46288</v>
          </cell>
          <cell r="V115">
            <v>47992</v>
          </cell>
          <cell r="W115">
            <v>49758</v>
          </cell>
          <cell r="X115">
            <v>51558</v>
          </cell>
          <cell r="Y115">
            <v>53425</v>
          </cell>
          <cell r="Z115">
            <v>55358</v>
          </cell>
          <cell r="AA115">
            <v>57360</v>
          </cell>
          <cell r="AB115">
            <v>59435</v>
          </cell>
          <cell r="AC115">
            <v>61560</v>
          </cell>
          <cell r="AD115">
            <v>63764</v>
          </cell>
          <cell r="AE115">
            <v>66045</v>
          </cell>
          <cell r="AF115">
            <v>68408</v>
          </cell>
          <cell r="AG115">
            <v>70856</v>
          </cell>
          <cell r="AH115">
            <v>73368</v>
          </cell>
          <cell r="AI115">
            <v>75967</v>
          </cell>
          <cell r="AJ115">
            <v>78660</v>
          </cell>
          <cell r="AK115">
            <v>81448</v>
          </cell>
          <cell r="AL115">
            <v>84236</v>
          </cell>
          <cell r="AM115">
            <v>87024</v>
          </cell>
        </row>
        <row r="116">
          <cell r="A116" t="str">
            <v>TOT2</v>
          </cell>
          <cell r="C116">
            <v>2</v>
          </cell>
          <cell r="G116">
            <v>358</v>
          </cell>
          <cell r="H116">
            <v>370</v>
          </cell>
          <cell r="I116">
            <v>358</v>
          </cell>
          <cell r="J116">
            <v>372</v>
          </cell>
          <cell r="K116">
            <v>386</v>
          </cell>
          <cell r="L116">
            <v>400</v>
          </cell>
          <cell r="M116">
            <v>415</v>
          </cell>
          <cell r="N116">
            <v>430</v>
          </cell>
          <cell r="O116">
            <v>447</v>
          </cell>
          <cell r="P116">
            <v>464</v>
          </cell>
          <cell r="Q116">
            <v>483</v>
          </cell>
          <cell r="R116">
            <v>500</v>
          </cell>
          <cell r="S116">
            <v>518</v>
          </cell>
          <cell r="T116">
            <v>539</v>
          </cell>
          <cell r="U116">
            <v>557</v>
          </cell>
          <cell r="V116">
            <v>578</v>
          </cell>
          <cell r="W116">
            <v>599</v>
          </cell>
          <cell r="X116">
            <v>619</v>
          </cell>
          <cell r="Y116">
            <v>643</v>
          </cell>
          <cell r="Z116">
            <v>667</v>
          </cell>
          <cell r="AA116">
            <v>691</v>
          </cell>
          <cell r="AB116">
            <v>715</v>
          </cell>
          <cell r="AC116">
            <v>742</v>
          </cell>
          <cell r="AD116">
            <v>768</v>
          </cell>
          <cell r="AE116">
            <v>796</v>
          </cell>
          <cell r="AF116">
            <v>825</v>
          </cell>
          <cell r="AG116">
            <v>854</v>
          </cell>
          <cell r="AH116">
            <v>883</v>
          </cell>
          <cell r="AI116">
            <v>915</v>
          </cell>
          <cell r="AJ116">
            <v>947</v>
          </cell>
          <cell r="AK116">
            <v>982</v>
          </cell>
          <cell r="AL116">
            <v>1017</v>
          </cell>
          <cell r="AM116">
            <v>1052</v>
          </cell>
        </row>
        <row r="117">
          <cell r="A117" t="str">
            <v>TOT3</v>
          </cell>
          <cell r="C117">
            <v>3</v>
          </cell>
          <cell r="G117">
            <v>89</v>
          </cell>
          <cell r="H117">
            <v>92</v>
          </cell>
          <cell r="I117">
            <v>90</v>
          </cell>
          <cell r="J117">
            <v>93</v>
          </cell>
          <cell r="K117">
            <v>97</v>
          </cell>
          <cell r="L117">
            <v>101</v>
          </cell>
          <cell r="M117">
            <v>104</v>
          </cell>
          <cell r="N117">
            <v>107</v>
          </cell>
          <cell r="O117">
            <v>112</v>
          </cell>
          <cell r="P117">
            <v>116</v>
          </cell>
          <cell r="Q117">
            <v>119</v>
          </cell>
          <cell r="R117">
            <v>126</v>
          </cell>
          <cell r="S117">
            <v>130</v>
          </cell>
          <cell r="T117">
            <v>133</v>
          </cell>
          <cell r="U117">
            <v>141</v>
          </cell>
          <cell r="V117">
            <v>144</v>
          </cell>
          <cell r="W117">
            <v>150</v>
          </cell>
          <cell r="X117">
            <v>156</v>
          </cell>
          <cell r="Y117">
            <v>159</v>
          </cell>
          <cell r="Z117">
            <v>167</v>
          </cell>
          <cell r="AA117">
            <v>173</v>
          </cell>
          <cell r="AB117">
            <v>180</v>
          </cell>
          <cell r="AC117">
            <v>185</v>
          </cell>
          <cell r="AD117">
            <v>192</v>
          </cell>
          <cell r="AE117">
            <v>199</v>
          </cell>
          <cell r="AF117">
            <v>206</v>
          </cell>
          <cell r="AG117">
            <v>213</v>
          </cell>
          <cell r="AH117">
            <v>221</v>
          </cell>
          <cell r="AI117">
            <v>229</v>
          </cell>
          <cell r="AJ117">
            <v>238</v>
          </cell>
          <cell r="AK117">
            <v>245</v>
          </cell>
          <cell r="AL117">
            <v>252</v>
          </cell>
          <cell r="AM117">
            <v>259</v>
          </cell>
        </row>
        <row r="118">
          <cell r="A118" t="str">
            <v>TOT4</v>
          </cell>
          <cell r="C118">
            <v>4</v>
          </cell>
          <cell r="G118">
            <v>6019</v>
          </cell>
          <cell r="H118">
            <v>6212</v>
          </cell>
          <cell r="I118">
            <v>5964</v>
          </cell>
          <cell r="J118">
            <v>6177</v>
          </cell>
          <cell r="K118">
            <v>6400</v>
          </cell>
          <cell r="L118">
            <v>6627</v>
          </cell>
          <cell r="M118">
            <v>6867</v>
          </cell>
          <cell r="N118">
            <v>7120</v>
          </cell>
          <cell r="O118">
            <v>7383</v>
          </cell>
          <cell r="P118">
            <v>7656</v>
          </cell>
          <cell r="Q118">
            <v>7939</v>
          </cell>
          <cell r="R118">
            <v>8233</v>
          </cell>
          <cell r="S118">
            <v>8535</v>
          </cell>
          <cell r="T118">
            <v>8848</v>
          </cell>
          <cell r="U118">
            <v>9172</v>
          </cell>
          <cell r="V118">
            <v>9507</v>
          </cell>
          <cell r="W118">
            <v>9855</v>
          </cell>
          <cell r="X118">
            <v>10214</v>
          </cell>
          <cell r="Y118">
            <v>10582</v>
          </cell>
          <cell r="Z118">
            <v>10965</v>
          </cell>
          <cell r="AA118">
            <v>11361</v>
          </cell>
          <cell r="AB118">
            <v>11772</v>
          </cell>
          <cell r="AC118">
            <v>12193</v>
          </cell>
          <cell r="AD118">
            <v>12630</v>
          </cell>
          <cell r="AE118">
            <v>13081</v>
          </cell>
          <cell r="AF118">
            <v>13550</v>
          </cell>
          <cell r="AG118">
            <v>14034</v>
          </cell>
          <cell r="AH118">
            <v>14532</v>
          </cell>
          <cell r="AI118">
            <v>15048</v>
          </cell>
          <cell r="AJ118">
            <v>15579</v>
          </cell>
          <cell r="AK118">
            <v>16132</v>
          </cell>
          <cell r="AL118">
            <v>16685</v>
          </cell>
          <cell r="AM118">
            <v>17238</v>
          </cell>
        </row>
        <row r="119">
          <cell r="A119" t="str">
            <v>TOT5</v>
          </cell>
          <cell r="C119">
            <v>5</v>
          </cell>
          <cell r="G119">
            <v>4493</v>
          </cell>
          <cell r="H119">
            <v>4641</v>
          </cell>
          <cell r="I119">
            <v>4451</v>
          </cell>
          <cell r="J119">
            <v>4613</v>
          </cell>
          <cell r="K119">
            <v>4780</v>
          </cell>
          <cell r="L119">
            <v>4953</v>
          </cell>
          <cell r="M119">
            <v>5128</v>
          </cell>
          <cell r="N119">
            <v>5319</v>
          </cell>
          <cell r="O119">
            <v>5517</v>
          </cell>
          <cell r="P119">
            <v>5721</v>
          </cell>
          <cell r="Q119">
            <v>5936</v>
          </cell>
          <cell r="R119">
            <v>6156</v>
          </cell>
          <cell r="S119">
            <v>6382</v>
          </cell>
          <cell r="T119">
            <v>6614</v>
          </cell>
          <cell r="U119">
            <v>6857</v>
          </cell>
          <cell r="V119">
            <v>7109</v>
          </cell>
          <cell r="W119">
            <v>7369</v>
          </cell>
          <cell r="X119">
            <v>7635</v>
          </cell>
          <cell r="Y119">
            <v>7911</v>
          </cell>
          <cell r="Z119">
            <v>8198</v>
          </cell>
          <cell r="AA119">
            <v>8494</v>
          </cell>
          <cell r="AB119">
            <v>8803</v>
          </cell>
          <cell r="AC119">
            <v>9117</v>
          </cell>
          <cell r="AD119">
            <v>9442</v>
          </cell>
          <cell r="AE119">
            <v>9780</v>
          </cell>
          <cell r="AF119">
            <v>10131</v>
          </cell>
          <cell r="AG119">
            <v>10492</v>
          </cell>
          <cell r="AH119">
            <v>10864</v>
          </cell>
          <cell r="AI119">
            <v>11249</v>
          </cell>
          <cell r="AJ119">
            <v>11648</v>
          </cell>
          <cell r="AK119">
            <v>12062</v>
          </cell>
          <cell r="AL119">
            <v>12476</v>
          </cell>
          <cell r="AM119">
            <v>12890</v>
          </cell>
        </row>
        <row r="120">
          <cell r="A120" t="str">
            <v>TOT6</v>
          </cell>
          <cell r="C120">
            <v>6</v>
          </cell>
          <cell r="G120">
            <v>3061</v>
          </cell>
          <cell r="H120">
            <v>3197</v>
          </cell>
          <cell r="I120">
            <v>3041</v>
          </cell>
          <cell r="J120">
            <v>3189</v>
          </cell>
          <cell r="K120">
            <v>3346</v>
          </cell>
          <cell r="L120">
            <v>3510</v>
          </cell>
          <cell r="M120">
            <v>2899</v>
          </cell>
          <cell r="N120">
            <v>3026</v>
          </cell>
          <cell r="O120">
            <v>3160</v>
          </cell>
          <cell r="P120">
            <v>3298</v>
          </cell>
          <cell r="Q120">
            <v>3445</v>
          </cell>
          <cell r="R120">
            <v>3596</v>
          </cell>
          <cell r="S120">
            <v>3731</v>
          </cell>
          <cell r="T120">
            <v>3872</v>
          </cell>
          <cell r="U120">
            <v>4018</v>
          </cell>
          <cell r="V120">
            <v>4167</v>
          </cell>
          <cell r="W120">
            <v>4325</v>
          </cell>
          <cell r="X120">
            <v>4482</v>
          </cell>
          <cell r="Y120">
            <v>4644</v>
          </cell>
          <cell r="Z120">
            <v>4810</v>
          </cell>
          <cell r="AA120">
            <v>4987</v>
          </cell>
          <cell r="AB120">
            <v>5166</v>
          </cell>
          <cell r="AC120">
            <v>5352</v>
          </cell>
          <cell r="AD120">
            <v>5544</v>
          </cell>
          <cell r="AE120">
            <v>5741</v>
          </cell>
          <cell r="AF120">
            <v>5947</v>
          </cell>
          <cell r="AG120">
            <v>6159</v>
          </cell>
          <cell r="AH120">
            <v>6378</v>
          </cell>
          <cell r="AI120">
            <v>6604</v>
          </cell>
          <cell r="AJ120">
            <v>6837</v>
          </cell>
          <cell r="AK120">
            <v>7079</v>
          </cell>
          <cell r="AL120">
            <v>7321</v>
          </cell>
          <cell r="AM120">
            <v>7563</v>
          </cell>
        </row>
        <row r="121">
          <cell r="A121" t="str">
            <v>TOT7</v>
          </cell>
          <cell r="C121">
            <v>7</v>
          </cell>
          <cell r="G121">
            <v>2298</v>
          </cell>
          <cell r="H121">
            <v>2399</v>
          </cell>
          <cell r="I121">
            <v>2283</v>
          </cell>
          <cell r="J121">
            <v>2394</v>
          </cell>
          <cell r="K121">
            <v>2511</v>
          </cell>
          <cell r="L121">
            <v>2636</v>
          </cell>
          <cell r="M121">
            <v>2175</v>
          </cell>
          <cell r="N121">
            <v>2271</v>
          </cell>
          <cell r="O121">
            <v>2372</v>
          </cell>
          <cell r="P121">
            <v>2476</v>
          </cell>
          <cell r="Q121">
            <v>2585</v>
          </cell>
          <cell r="R121">
            <v>2700</v>
          </cell>
          <cell r="S121">
            <v>2801</v>
          </cell>
          <cell r="T121">
            <v>2906</v>
          </cell>
          <cell r="U121">
            <v>3014</v>
          </cell>
          <cell r="V121">
            <v>3128</v>
          </cell>
          <cell r="W121">
            <v>3246</v>
          </cell>
          <cell r="X121">
            <v>3363</v>
          </cell>
          <cell r="Y121">
            <v>3484</v>
          </cell>
          <cell r="Z121">
            <v>3610</v>
          </cell>
          <cell r="AA121">
            <v>3741</v>
          </cell>
          <cell r="AB121">
            <v>3878</v>
          </cell>
          <cell r="AC121">
            <v>4017</v>
          </cell>
          <cell r="AD121">
            <v>4161</v>
          </cell>
          <cell r="AE121">
            <v>4309</v>
          </cell>
          <cell r="AF121">
            <v>4463</v>
          </cell>
          <cell r="AG121">
            <v>4622</v>
          </cell>
          <cell r="AH121">
            <v>4786</v>
          </cell>
          <cell r="AI121">
            <v>4956</v>
          </cell>
          <cell r="AJ121">
            <v>5132</v>
          </cell>
          <cell r="AK121">
            <v>5312</v>
          </cell>
          <cell r="AL121">
            <v>5492</v>
          </cell>
          <cell r="AM121">
            <v>5672</v>
          </cell>
        </row>
        <row r="122">
          <cell r="A122" t="str">
            <v>TOT8</v>
          </cell>
          <cell r="C122">
            <v>8</v>
          </cell>
          <cell r="G122">
            <v>2861</v>
          </cell>
          <cell r="H122">
            <v>2990</v>
          </cell>
          <cell r="I122">
            <v>2854</v>
          </cell>
          <cell r="J122">
            <v>2993</v>
          </cell>
          <cell r="K122">
            <v>3139</v>
          </cell>
          <cell r="L122">
            <v>3294</v>
          </cell>
          <cell r="M122">
            <v>2611</v>
          </cell>
          <cell r="N122">
            <v>2728</v>
          </cell>
          <cell r="O122">
            <v>2848</v>
          </cell>
          <cell r="P122">
            <v>2973</v>
          </cell>
          <cell r="Q122">
            <v>3106</v>
          </cell>
          <cell r="R122">
            <v>3241</v>
          </cell>
          <cell r="S122">
            <v>3364</v>
          </cell>
          <cell r="T122">
            <v>3489</v>
          </cell>
          <cell r="U122">
            <v>3621</v>
          </cell>
          <cell r="V122">
            <v>3757</v>
          </cell>
          <cell r="W122">
            <v>3898</v>
          </cell>
          <cell r="X122">
            <v>4039</v>
          </cell>
          <cell r="Y122">
            <v>4186</v>
          </cell>
          <cell r="Z122">
            <v>4337</v>
          </cell>
          <cell r="AA122">
            <v>4494</v>
          </cell>
          <cell r="AB122">
            <v>4657</v>
          </cell>
          <cell r="AC122">
            <v>4822</v>
          </cell>
          <cell r="AD122">
            <v>4996</v>
          </cell>
          <cell r="AE122">
            <v>5175</v>
          </cell>
          <cell r="AF122">
            <v>5360</v>
          </cell>
          <cell r="AG122">
            <v>5551</v>
          </cell>
          <cell r="AH122">
            <v>5748</v>
          </cell>
          <cell r="AI122">
            <v>5952</v>
          </cell>
          <cell r="AJ122">
            <v>6162</v>
          </cell>
          <cell r="AK122">
            <v>6382</v>
          </cell>
          <cell r="AL122">
            <v>6602</v>
          </cell>
          <cell r="AM122">
            <v>6822</v>
          </cell>
        </row>
        <row r="123">
          <cell r="A123" t="str">
            <v>TOT9</v>
          </cell>
          <cell r="C123">
            <v>9</v>
          </cell>
          <cell r="G123">
            <v>1905</v>
          </cell>
          <cell r="H123">
            <v>1982</v>
          </cell>
          <cell r="I123">
            <v>1904</v>
          </cell>
          <cell r="J123">
            <v>1993</v>
          </cell>
          <cell r="K123">
            <v>2085</v>
          </cell>
          <cell r="L123">
            <v>2182</v>
          </cell>
          <cell r="M123">
            <v>1918</v>
          </cell>
          <cell r="N123">
            <v>2002</v>
          </cell>
          <cell r="O123">
            <v>2089</v>
          </cell>
          <cell r="P123">
            <v>2178</v>
          </cell>
          <cell r="Q123">
            <v>2273</v>
          </cell>
          <cell r="R123">
            <v>2373</v>
          </cell>
          <cell r="S123">
            <v>2462</v>
          </cell>
          <cell r="T123">
            <v>2555</v>
          </cell>
          <cell r="U123">
            <v>2650</v>
          </cell>
          <cell r="V123">
            <v>2749</v>
          </cell>
          <cell r="W123">
            <v>2851</v>
          </cell>
          <cell r="X123">
            <v>2957</v>
          </cell>
          <cell r="Y123">
            <v>3063</v>
          </cell>
          <cell r="Z123">
            <v>3175</v>
          </cell>
          <cell r="AA123">
            <v>3288</v>
          </cell>
          <cell r="AB123">
            <v>3408</v>
          </cell>
          <cell r="AC123">
            <v>3530</v>
          </cell>
          <cell r="AD123">
            <v>3657</v>
          </cell>
          <cell r="AE123">
            <v>3786</v>
          </cell>
          <cell r="AF123">
            <v>3923</v>
          </cell>
          <cell r="AG123">
            <v>4063</v>
          </cell>
          <cell r="AH123">
            <v>4208</v>
          </cell>
          <cell r="AI123">
            <v>4357</v>
          </cell>
          <cell r="AJ123">
            <v>4511</v>
          </cell>
          <cell r="AK123">
            <v>4671</v>
          </cell>
          <cell r="AL123">
            <v>4831</v>
          </cell>
          <cell r="AM123">
            <v>4991</v>
          </cell>
        </row>
        <row r="124">
          <cell r="A124" t="str">
            <v>TOT10</v>
          </cell>
          <cell r="C124">
            <v>10</v>
          </cell>
          <cell r="G124">
            <v>0</v>
          </cell>
          <cell r="H124">
            <v>0</v>
          </cell>
          <cell r="I124">
            <v>0</v>
          </cell>
          <cell r="J124">
            <v>0</v>
          </cell>
          <cell r="K124">
            <v>0</v>
          </cell>
          <cell r="L124">
            <v>0</v>
          </cell>
          <cell r="M124">
            <v>0</v>
          </cell>
          <cell r="N124">
            <v>0</v>
          </cell>
          <cell r="O124">
            <v>0</v>
          </cell>
          <cell r="P124">
            <v>0</v>
          </cell>
          <cell r="Q124">
            <v>0</v>
          </cell>
          <cell r="R124">
            <v>0</v>
          </cell>
          <cell r="S124">
            <v>0</v>
          </cell>
          <cell r="T124">
            <v>0</v>
          </cell>
          <cell r="U124">
            <v>0</v>
          </cell>
          <cell r="V124">
            <v>0</v>
          </cell>
          <cell r="W124">
            <v>0</v>
          </cell>
          <cell r="X124">
            <v>0</v>
          </cell>
          <cell r="Y124">
            <v>0</v>
          </cell>
          <cell r="Z124">
            <v>0</v>
          </cell>
          <cell r="AA124">
            <v>0</v>
          </cell>
          <cell r="AB124">
            <v>0</v>
          </cell>
          <cell r="AC124">
            <v>0</v>
          </cell>
          <cell r="AD124">
            <v>0</v>
          </cell>
          <cell r="AE124">
            <v>0</v>
          </cell>
          <cell r="AF124">
            <v>0</v>
          </cell>
          <cell r="AG124">
            <v>0</v>
          </cell>
          <cell r="AH124">
            <v>0</v>
          </cell>
          <cell r="AI124">
            <v>0</v>
          </cell>
          <cell r="AJ124">
            <v>0</v>
          </cell>
          <cell r="AK124">
            <v>0</v>
          </cell>
          <cell r="AL124">
            <v>0</v>
          </cell>
          <cell r="AM124">
            <v>0</v>
          </cell>
        </row>
        <row r="125">
          <cell r="A125" t="str">
            <v>TOT11</v>
          </cell>
          <cell r="C125">
            <v>11</v>
          </cell>
          <cell r="G125">
            <v>317</v>
          </cell>
          <cell r="H125">
            <v>331</v>
          </cell>
          <cell r="I125">
            <v>318</v>
          </cell>
          <cell r="J125">
            <v>331</v>
          </cell>
          <cell r="K125">
            <v>347</v>
          </cell>
          <cell r="L125">
            <v>362</v>
          </cell>
          <cell r="M125">
            <v>318</v>
          </cell>
          <cell r="N125">
            <v>334</v>
          </cell>
          <cell r="O125">
            <v>348</v>
          </cell>
          <cell r="P125">
            <v>363</v>
          </cell>
          <cell r="Q125">
            <v>379</v>
          </cell>
          <cell r="R125">
            <v>395</v>
          </cell>
          <cell r="S125">
            <v>410</v>
          </cell>
          <cell r="T125">
            <v>424</v>
          </cell>
          <cell r="U125">
            <v>440</v>
          </cell>
          <cell r="V125">
            <v>458</v>
          </cell>
          <cell r="W125">
            <v>475</v>
          </cell>
          <cell r="X125">
            <v>491</v>
          </cell>
          <cell r="Y125">
            <v>509</v>
          </cell>
          <cell r="Z125">
            <v>527</v>
          </cell>
          <cell r="AA125">
            <v>547</v>
          </cell>
          <cell r="AB125">
            <v>565</v>
          </cell>
          <cell r="AC125">
            <v>588</v>
          </cell>
          <cell r="AD125">
            <v>609</v>
          </cell>
          <cell r="AE125">
            <v>628</v>
          </cell>
          <cell r="AF125">
            <v>651</v>
          </cell>
          <cell r="AG125">
            <v>675</v>
          </cell>
          <cell r="AH125">
            <v>700</v>
          </cell>
          <cell r="AI125">
            <v>724</v>
          </cell>
          <cell r="AJ125">
            <v>749</v>
          </cell>
          <cell r="AK125">
            <v>777</v>
          </cell>
          <cell r="AL125">
            <v>805</v>
          </cell>
          <cell r="AM125">
            <v>833</v>
          </cell>
        </row>
        <row r="126">
          <cell r="A126" t="str">
            <v>TOT12</v>
          </cell>
          <cell r="C126">
            <v>12</v>
          </cell>
          <cell r="G126">
            <v>35</v>
          </cell>
          <cell r="H126">
            <v>36</v>
          </cell>
          <cell r="I126">
            <v>36</v>
          </cell>
          <cell r="J126">
            <v>36</v>
          </cell>
          <cell r="K126">
            <v>39</v>
          </cell>
          <cell r="L126">
            <v>41</v>
          </cell>
          <cell r="M126">
            <v>36</v>
          </cell>
          <cell r="N126">
            <v>37</v>
          </cell>
          <cell r="O126">
            <v>39</v>
          </cell>
          <cell r="P126">
            <v>39</v>
          </cell>
          <cell r="Q126">
            <v>41</v>
          </cell>
          <cell r="R126">
            <v>46</v>
          </cell>
          <cell r="S126">
            <v>47</v>
          </cell>
          <cell r="T126">
            <v>47</v>
          </cell>
          <cell r="U126">
            <v>49</v>
          </cell>
          <cell r="V126">
            <v>51</v>
          </cell>
          <cell r="W126">
            <v>53</v>
          </cell>
          <cell r="X126">
            <v>54</v>
          </cell>
          <cell r="Y126">
            <v>57</v>
          </cell>
          <cell r="Z126">
            <v>58</v>
          </cell>
          <cell r="AA126">
            <v>62</v>
          </cell>
          <cell r="AB126">
            <v>63</v>
          </cell>
          <cell r="AC126">
            <v>65</v>
          </cell>
          <cell r="AD126">
            <v>67</v>
          </cell>
          <cell r="AE126">
            <v>72</v>
          </cell>
          <cell r="AF126">
            <v>73</v>
          </cell>
          <cell r="AG126">
            <v>75</v>
          </cell>
          <cell r="AH126">
            <v>78</v>
          </cell>
          <cell r="AI126">
            <v>80</v>
          </cell>
          <cell r="AJ126">
            <v>83</v>
          </cell>
          <cell r="AK126">
            <v>87</v>
          </cell>
          <cell r="AL126">
            <v>91</v>
          </cell>
          <cell r="AM126">
            <v>95</v>
          </cell>
        </row>
        <row r="127">
          <cell r="A127" t="str">
            <v>TOT13</v>
          </cell>
          <cell r="C127">
            <v>13</v>
          </cell>
          <cell r="G127">
            <v>1300</v>
          </cell>
          <cell r="H127">
            <v>1347</v>
          </cell>
          <cell r="I127">
            <v>1296</v>
          </cell>
          <cell r="J127">
            <v>1348</v>
          </cell>
          <cell r="K127">
            <v>1402</v>
          </cell>
          <cell r="L127">
            <v>1458</v>
          </cell>
          <cell r="M127">
            <v>1515</v>
          </cell>
          <cell r="N127">
            <v>1577</v>
          </cell>
          <cell r="O127">
            <v>1642</v>
          </cell>
          <cell r="P127">
            <v>1708</v>
          </cell>
          <cell r="Q127">
            <v>1778</v>
          </cell>
          <cell r="R127">
            <v>1850</v>
          </cell>
          <cell r="S127">
            <v>1920</v>
          </cell>
          <cell r="T127">
            <v>1992</v>
          </cell>
          <cell r="U127">
            <v>2066</v>
          </cell>
          <cell r="V127">
            <v>2142</v>
          </cell>
          <cell r="W127">
            <v>2222</v>
          </cell>
          <cell r="X127">
            <v>2302</v>
          </cell>
          <cell r="Y127">
            <v>2385</v>
          </cell>
          <cell r="Z127">
            <v>2471</v>
          </cell>
          <cell r="AA127">
            <v>2561</v>
          </cell>
          <cell r="AB127">
            <v>2655</v>
          </cell>
          <cell r="AC127">
            <v>2750</v>
          </cell>
          <cell r="AD127">
            <v>2846</v>
          </cell>
          <cell r="AE127">
            <v>2950</v>
          </cell>
          <cell r="AF127">
            <v>3055</v>
          </cell>
          <cell r="AG127">
            <v>3163</v>
          </cell>
          <cell r="AH127">
            <v>3277</v>
          </cell>
          <cell r="AI127">
            <v>3394</v>
          </cell>
          <cell r="AJ127">
            <v>3513</v>
          </cell>
          <cell r="AK127">
            <v>3638</v>
          </cell>
          <cell r="AL127">
            <v>3763</v>
          </cell>
          <cell r="AM127">
            <v>3888</v>
          </cell>
        </row>
      </sheetData>
      <sheetData sheetId="26" refreshError="1"/>
      <sheetData sheetId="27" refreshError="1"/>
      <sheetData sheetId="28"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MISSAS"/>
      <sheetName val="MEF"/>
      <sheetName val="RESUMO OP"/>
      <sheetName val="RESUMO FIN"/>
      <sheetName val="INDICES"/>
      <sheetName val="INFRA"/>
      <sheetName val="CRONOP"/>
      <sheetName val="PEDAGIO"/>
      <sheetName val="CARGOS"/>
      <sheetName val="ENCARGOS"/>
      <sheetName val="MO"/>
      <sheetName val="ORGANO"/>
      <sheetName val="DESP"/>
      <sheetName val="DESPCONTROL"/>
      <sheetName val="CONSERVA"/>
      <sheetName val="VEICULOS"/>
      <sheetName val="CRONOVEIC"/>
      <sheetName val="EQUIPSYS"/>
      <sheetName val="BD_VDMA_13cat"/>
      <sheetName val="CPU SICRO"/>
      <sheetName val="SICRO-PL"/>
      <sheetName val="COPEL"/>
      <sheetName val="Preç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row r="1">
          <cell r="A1" t="str">
            <v>CGCIT</v>
          </cell>
          <cell r="I1" t="str">
            <v>DNIT</v>
          </cell>
        </row>
        <row r="3">
          <cell r="D3" t="str">
            <v>Outubro/2019</v>
          </cell>
          <cell r="G3" t="str">
            <v>Produção da equipe</v>
          </cell>
          <cell r="H3">
            <v>0.56000000000000005</v>
          </cell>
          <cell r="I3" t="str">
            <v>m³</v>
          </cell>
        </row>
        <row r="4">
          <cell r="H4" t="str">
            <v>Valores em reais (R$)</v>
          </cell>
        </row>
        <row r="5">
          <cell r="C5" t="str">
            <v>Quantidade</v>
          </cell>
          <cell r="D5" t="str">
            <v>Utilização</v>
          </cell>
          <cell r="F5" t="str">
            <v>Custo Horário</v>
          </cell>
          <cell r="I5" t="str">
            <v>Custo</v>
          </cell>
        </row>
        <row r="6">
          <cell r="D6" t="str">
            <v>Operativa</v>
          </cell>
          <cell r="E6" t="str">
            <v>Improdutiva</v>
          </cell>
          <cell r="F6" t="str">
            <v>Produtivo</v>
          </cell>
          <cell r="G6" t="str">
            <v>Improdutivo</v>
          </cell>
          <cell r="I6" t="str">
            <v>Horário Total</v>
          </cell>
          <cell r="AF6" t="str">
            <v>M0003</v>
          </cell>
          <cell r="AG6" t="str">
            <v>Aço CA 25</v>
          </cell>
          <cell r="AH6" t="str">
            <v>kg</v>
          </cell>
          <cell r="AI6">
            <v>3.7534000000000001</v>
          </cell>
        </row>
        <row r="7">
          <cell r="C7">
            <v>1</v>
          </cell>
          <cell r="D7">
            <v>0.02</v>
          </cell>
          <cell r="E7">
            <v>0.98</v>
          </cell>
          <cell r="F7">
            <v>7.0667999999999997</v>
          </cell>
          <cell r="G7">
            <v>3.6642999999999999</v>
          </cell>
          <cell r="I7">
            <v>3.7323499999999998</v>
          </cell>
          <cell r="R7" t="str">
            <v>E9001</v>
          </cell>
          <cell r="S7" t="str">
            <v>Conjunto vibratório para tubos de concreto com encaixe PB e 3 jogos de fôrmas - D = 60 cm - 2,2 kW</v>
          </cell>
          <cell r="T7">
            <v>56129.966999999997</v>
          </cell>
          <cell r="U7">
            <v>7.484</v>
          </cell>
          <cell r="V7">
            <v>0.88400000000000001</v>
          </cell>
          <cell r="W7">
            <v>0</v>
          </cell>
          <cell r="X7">
            <v>5.6130000000000004</v>
          </cell>
          <cell r="Y7">
            <v>0</v>
          </cell>
          <cell r="Z7">
            <v>0</v>
          </cell>
          <cell r="AA7">
            <v>13.981</v>
          </cell>
          <cell r="AB7">
            <v>8.3680000000000003</v>
          </cell>
          <cell r="AF7" t="str">
            <v>M0004</v>
          </cell>
          <cell r="AG7" t="str">
            <v>Aço CA 50</v>
          </cell>
          <cell r="AH7" t="str">
            <v>kg</v>
          </cell>
          <cell r="AI7">
            <v>3.5541</v>
          </cell>
        </row>
        <row r="8">
          <cell r="C8">
            <v>1</v>
          </cell>
          <cell r="D8">
            <v>0.25</v>
          </cell>
          <cell r="E8">
            <v>0.75</v>
          </cell>
          <cell r="F8">
            <v>4.9999000000000002</v>
          </cell>
          <cell r="G8">
            <v>0.51290000000000002</v>
          </cell>
          <cell r="I8">
            <v>1.6346500000000002</v>
          </cell>
          <cell r="R8" t="str">
            <v>E9002</v>
          </cell>
          <cell r="S8" t="str">
            <v>Conjunto vibratório para tubos de concreto com encaixe PB e 3 jogos de fôrmas - D = 80 cm - 2,2 kW</v>
          </cell>
          <cell r="T8">
            <v>61711.897199999999</v>
          </cell>
          <cell r="U8">
            <v>8.2283000000000008</v>
          </cell>
          <cell r="V8">
            <v>0.97199999999999998</v>
          </cell>
          <cell r="W8">
            <v>0</v>
          </cell>
          <cell r="X8">
            <v>6.1711999999999998</v>
          </cell>
          <cell r="Y8">
            <v>0</v>
          </cell>
          <cell r="Z8">
            <v>0</v>
          </cell>
          <cell r="AA8">
            <v>15.371499999999999</v>
          </cell>
          <cell r="AB8">
            <v>9.2003000000000004</v>
          </cell>
          <cell r="AF8" t="str">
            <v>M0005</v>
          </cell>
          <cell r="AG8" t="str">
            <v>Brita 0</v>
          </cell>
          <cell r="AH8" t="str">
            <v>m³</v>
          </cell>
          <cell r="AI8">
            <v>64.418999999999997</v>
          </cell>
        </row>
        <row r="9">
          <cell r="C9">
            <v>1</v>
          </cell>
          <cell r="D9">
            <v>0.16</v>
          </cell>
          <cell r="E9">
            <v>0.84</v>
          </cell>
          <cell r="F9">
            <v>15.3209</v>
          </cell>
          <cell r="G9">
            <v>1.0472999999999999</v>
          </cell>
          <cell r="I9">
            <v>3.3310759999999999</v>
          </cell>
          <cell r="R9" t="str">
            <v>E9003</v>
          </cell>
          <cell r="S9" t="str">
            <v>Conjunto vibratório para tubos de concreto com encaixe PB e 3 jogos de fôrmas - D = 100 cm - 2,2 kW</v>
          </cell>
          <cell r="T9">
            <v>67114.556700000001</v>
          </cell>
          <cell r="U9">
            <v>8.9486000000000008</v>
          </cell>
          <cell r="V9">
            <v>1.0570999999999999</v>
          </cell>
          <cell r="W9">
            <v>0</v>
          </cell>
          <cell r="X9">
            <v>6.7115</v>
          </cell>
          <cell r="Y9">
            <v>0</v>
          </cell>
          <cell r="Z9">
            <v>0</v>
          </cell>
          <cell r="AA9">
            <v>16.717199999999998</v>
          </cell>
          <cell r="AB9">
            <v>10.005699999999999</v>
          </cell>
          <cell r="AF9" t="str">
            <v>M0006</v>
          </cell>
          <cell r="AG9" t="str">
            <v>Fibra de nylon para concreto</v>
          </cell>
          <cell r="AH9" t="str">
            <v>kg</v>
          </cell>
          <cell r="AI9">
            <v>14.698</v>
          </cell>
        </row>
        <row r="10">
          <cell r="G10" t="str">
            <v>Custo horário total de equipamentos</v>
          </cell>
          <cell r="I10">
            <v>8.6980760000000004</v>
          </cell>
          <cell r="R10" t="str">
            <v>E9004</v>
          </cell>
          <cell r="S10" t="str">
            <v>Conjunto vibratório para tubos de concreto com encaixe PB e 3 jogos de fôrmas - D = 120 cm - 2,2 kW</v>
          </cell>
          <cell r="T10">
            <v>67333.543600000005</v>
          </cell>
          <cell r="U10">
            <v>8.9778000000000002</v>
          </cell>
          <cell r="V10">
            <v>1.0605</v>
          </cell>
          <cell r="W10">
            <v>0</v>
          </cell>
          <cell r="X10">
            <v>6.7333999999999996</v>
          </cell>
          <cell r="Y10">
            <v>0</v>
          </cell>
          <cell r="Z10">
            <v>0</v>
          </cell>
          <cell r="AA10">
            <v>16.771699999999999</v>
          </cell>
          <cell r="AB10">
            <v>10.0383</v>
          </cell>
          <cell r="AF10" t="str">
            <v>M0007</v>
          </cell>
          <cell r="AG10" t="str">
            <v>Fibra de aço para concreto</v>
          </cell>
          <cell r="AH10" t="str">
            <v>kg</v>
          </cell>
          <cell r="AI10">
            <v>6.0381</v>
          </cell>
        </row>
        <row r="11">
          <cell r="C11" t="str">
            <v>Quantidade</v>
          </cell>
          <cell r="D11" t="str">
            <v>Unidade</v>
          </cell>
          <cell r="E11" t="str">
            <v>Custo Horário</v>
          </cell>
          <cell r="G11" t="str">
            <v>Custo Horário Total</v>
          </cell>
          <cell r="R11" t="str">
            <v>E9005</v>
          </cell>
          <cell r="S11" t="str">
            <v>Conjunto vibratório para tubos de concreto com encaixe PB e 3 jogos de fôrmas - D = 150 cm - 2,2 kW</v>
          </cell>
          <cell r="T11">
            <v>67604.6103</v>
          </cell>
          <cell r="U11">
            <v>9.0138999999999996</v>
          </cell>
          <cell r="V11">
            <v>1.0648</v>
          </cell>
          <cell r="W11">
            <v>0</v>
          </cell>
          <cell r="X11">
            <v>6.7605000000000004</v>
          </cell>
          <cell r="Y11">
            <v>0</v>
          </cell>
          <cell r="Z11">
            <v>0</v>
          </cell>
          <cell r="AA11">
            <v>16.839200000000002</v>
          </cell>
          <cell r="AB11">
            <v>10.0787</v>
          </cell>
          <cell r="AF11" t="str">
            <v>M0008</v>
          </cell>
          <cell r="AG11" t="str">
            <v>Detergente</v>
          </cell>
          <cell r="AH11" t="str">
            <v>l</v>
          </cell>
          <cell r="AI11">
            <v>2.8180000000000001</v>
          </cell>
        </row>
        <row r="12">
          <cell r="C12">
            <v>6</v>
          </cell>
          <cell r="D12" t="str">
            <v>h</v>
          </cell>
          <cell r="F12">
            <v>19.378599999999999</v>
          </cell>
          <cell r="I12">
            <v>116.27159999999999</v>
          </cell>
          <cell r="R12" t="str">
            <v>E9006</v>
          </cell>
          <cell r="S12" t="str">
            <v>Equipamento para sondagem manual</v>
          </cell>
          <cell r="T12">
            <v>1638.4404</v>
          </cell>
          <cell r="U12">
            <v>0.27850000000000003</v>
          </cell>
          <cell r="V12">
            <v>3.1E-2</v>
          </cell>
          <cell r="W12">
            <v>0</v>
          </cell>
          <cell r="X12">
            <v>0.1638</v>
          </cell>
          <cell r="Y12">
            <v>0</v>
          </cell>
          <cell r="Z12">
            <v>0</v>
          </cell>
          <cell r="AA12">
            <v>0.4733</v>
          </cell>
          <cell r="AB12">
            <v>0.3095</v>
          </cell>
          <cell r="AF12" t="str">
            <v>M0009</v>
          </cell>
          <cell r="AG12" t="str">
            <v>Aço CP 175 RB</v>
          </cell>
          <cell r="AH12" t="str">
            <v>kg</v>
          </cell>
          <cell r="AI12">
            <v>8.1987000000000005</v>
          </cell>
        </row>
        <row r="13">
          <cell r="C13" t="str">
            <v>Custo horário total de mão de obra</v>
          </cell>
          <cell r="H13">
            <v>116.27159999999999</v>
          </cell>
          <cell r="R13" t="str">
            <v>E9007</v>
          </cell>
          <cell r="S13" t="str">
            <v>Bomba de pistão triplex com capacidade de 130 l/min - 8,2 kW</v>
          </cell>
          <cell r="T13">
            <v>35776.142800000001</v>
          </cell>
          <cell r="U13">
            <v>2.8620999999999999</v>
          </cell>
          <cell r="V13">
            <v>0.33810000000000001</v>
          </cell>
          <cell r="W13">
            <v>0</v>
          </cell>
          <cell r="X13">
            <v>2.5043000000000002</v>
          </cell>
          <cell r="Y13">
            <v>4.9886999999999997</v>
          </cell>
          <cell r="Z13">
            <v>0</v>
          </cell>
          <cell r="AA13">
            <v>10.693199999999999</v>
          </cell>
          <cell r="AB13">
            <v>3.2002000000000002</v>
          </cell>
          <cell r="AF13" t="str">
            <v>M0010</v>
          </cell>
          <cell r="AG13" t="str">
            <v>Superplastificante</v>
          </cell>
          <cell r="AH13" t="str">
            <v>l</v>
          </cell>
          <cell r="AI13">
            <v>7.3582000000000001</v>
          </cell>
        </row>
        <row r="14">
          <cell r="C14" t="str">
            <v>Custo horário total de execução</v>
          </cell>
          <cell r="I14">
            <v>124.96967599999999</v>
          </cell>
          <cell r="R14" t="str">
            <v>E9008</v>
          </cell>
          <cell r="S14" t="str">
            <v>Transportador manual de tubos de concreto</v>
          </cell>
          <cell r="T14">
            <v>1538.8676</v>
          </cell>
          <cell r="U14">
            <v>1.385</v>
          </cell>
          <cell r="V14">
            <v>4.8500000000000001E-2</v>
          </cell>
          <cell r="W14">
            <v>0</v>
          </cell>
          <cell r="X14">
            <v>0.76939999999999997</v>
          </cell>
          <cell r="Y14">
            <v>0</v>
          </cell>
          <cell r="Z14">
            <v>0</v>
          </cell>
          <cell r="AA14">
            <v>2.2029000000000001</v>
          </cell>
          <cell r="AB14">
            <v>1.4335</v>
          </cell>
          <cell r="AF14" t="str">
            <v>M0011</v>
          </cell>
          <cell r="AG14" t="str">
            <v>Aditivo modificador de viscosidade</v>
          </cell>
          <cell r="AH14" t="str">
            <v>kg</v>
          </cell>
          <cell r="AI14">
            <v>7.6452</v>
          </cell>
        </row>
        <row r="15">
          <cell r="C15" t="str">
            <v>Custo unitário de execução</v>
          </cell>
          <cell r="I15">
            <v>223.16013571428567</v>
          </cell>
          <cell r="R15" t="str">
            <v>E9009</v>
          </cell>
          <cell r="S15" t="str">
            <v>Rebocador - 360 HP</v>
          </cell>
          <cell r="T15">
            <v>588400.51320000004</v>
          </cell>
          <cell r="U15">
            <v>7.6615000000000002</v>
          </cell>
          <cell r="V15">
            <v>1.7430000000000001</v>
          </cell>
          <cell r="W15">
            <v>0</v>
          </cell>
          <cell r="X15">
            <v>17.025500000000001</v>
          </cell>
          <cell r="Y15">
            <v>163.04580000000001</v>
          </cell>
          <cell r="Z15">
            <v>112.74979999999999</v>
          </cell>
          <cell r="AA15">
            <v>302.22559999999999</v>
          </cell>
          <cell r="AB15">
            <v>122.15430000000001</v>
          </cell>
          <cell r="AF15" t="str">
            <v>M0012</v>
          </cell>
          <cell r="AG15" t="str">
            <v>Silicato de alumínio</v>
          </cell>
          <cell r="AH15" t="str">
            <v>kg</v>
          </cell>
          <cell r="AI15">
            <v>1.0953999999999999</v>
          </cell>
        </row>
        <row r="16">
          <cell r="G16" t="str">
            <v>Custo do FIC</v>
          </cell>
          <cell r="R16" t="str">
            <v>E9010</v>
          </cell>
          <cell r="S16" t="str">
            <v>Balança plataforma digital com mesa de 75 x 75 cm com capacidade de 500 kg</v>
          </cell>
          <cell r="T16">
            <v>3901.0259000000001</v>
          </cell>
          <cell r="U16">
            <v>0.58520000000000005</v>
          </cell>
          <cell r="V16">
            <v>4.1000000000000002E-2</v>
          </cell>
          <cell r="W16">
            <v>0</v>
          </cell>
          <cell r="X16">
            <v>0.3251</v>
          </cell>
          <cell r="Y16">
            <v>0</v>
          </cell>
          <cell r="Z16">
            <v>0</v>
          </cell>
          <cell r="AA16">
            <v>0.95130000000000003</v>
          </cell>
          <cell r="AB16">
            <v>0.62619999999999998</v>
          </cell>
          <cell r="AF16" t="str">
            <v>M0013</v>
          </cell>
          <cell r="AG16" t="str">
            <v>Grampo de ancoragem CA 50 - D = 12,5 mm</v>
          </cell>
          <cell r="AH16" t="str">
            <v>kg</v>
          </cell>
          <cell r="AI16">
            <v>3.5541</v>
          </cell>
        </row>
        <row r="17">
          <cell r="G17" t="str">
            <v>Custo do FIT</v>
          </cell>
          <cell r="R17" t="str">
            <v>E9011</v>
          </cell>
          <cell r="S17" t="str">
            <v>Carro manual modelo plataforma de 200 x 80 cm com capacidade de 800 kg</v>
          </cell>
          <cell r="T17">
            <v>1054.9942000000001</v>
          </cell>
          <cell r="U17">
            <v>0.18990000000000001</v>
          </cell>
          <cell r="V17">
            <v>1.9900000000000001E-2</v>
          </cell>
          <cell r="W17">
            <v>0</v>
          </cell>
          <cell r="X17">
            <v>0.1055</v>
          </cell>
          <cell r="Y17">
            <v>0</v>
          </cell>
          <cell r="Z17">
            <v>0</v>
          </cell>
          <cell r="AA17">
            <v>0.31530000000000002</v>
          </cell>
          <cell r="AB17">
            <v>0.20979999999999999</v>
          </cell>
          <cell r="AF17" t="str">
            <v>M0014</v>
          </cell>
          <cell r="AG17" t="str">
            <v>Aço CA 60</v>
          </cell>
          <cell r="AH17" t="str">
            <v>kg</v>
          </cell>
          <cell r="AI17">
            <v>4.1853999999999996</v>
          </cell>
        </row>
        <row r="18">
          <cell r="C18" t="str">
            <v>Quantidade</v>
          </cell>
          <cell r="D18" t="str">
            <v>Unidade</v>
          </cell>
          <cell r="E18" t="str">
            <v>Preço Unitário</v>
          </cell>
          <cell r="G18" t="str">
            <v>Custo Unitário</v>
          </cell>
          <cell r="R18" t="str">
            <v>E9012</v>
          </cell>
          <cell r="S18" t="str">
            <v>Recicladora a frio - 403 kW</v>
          </cell>
          <cell r="T18">
            <v>4026019.952</v>
          </cell>
          <cell r="U18">
            <v>234.85120000000001</v>
          </cell>
          <cell r="V18">
            <v>36.989100000000001</v>
          </cell>
          <cell r="W18">
            <v>0</v>
          </cell>
          <cell r="X18">
            <v>335.50170000000003</v>
          </cell>
          <cell r="Y18">
            <v>258.08120000000002</v>
          </cell>
          <cell r="Z18">
            <v>35.442</v>
          </cell>
          <cell r="AA18">
            <v>900.86519999999996</v>
          </cell>
          <cell r="AB18">
            <v>307.28230000000002</v>
          </cell>
          <cell r="AF18" t="str">
            <v>M0015</v>
          </cell>
          <cell r="AG18" t="str">
            <v>Espoleta elétrica</v>
          </cell>
          <cell r="AH18" t="str">
            <v>un</v>
          </cell>
          <cell r="AI18">
            <v>17.854199999999999</v>
          </cell>
        </row>
        <row r="19">
          <cell r="C19">
            <v>1.333E-2</v>
          </cell>
          <cell r="D19" t="str">
            <v>un</v>
          </cell>
          <cell r="F19">
            <v>222.06030000000001</v>
          </cell>
          <cell r="I19">
            <v>2.9600637990000003</v>
          </cell>
          <cell r="R19" t="str">
            <v>E9014</v>
          </cell>
          <cell r="S19" t="str">
            <v>Deflectômetro de impacto (FWD) instalado em pick up com reboque e faixa de carga de 7 a 120 kN - 147 kW</v>
          </cell>
          <cell r="T19">
            <v>1595198.227</v>
          </cell>
          <cell r="U19">
            <v>127.6159</v>
          </cell>
          <cell r="V19">
            <v>15.0746</v>
          </cell>
          <cell r="W19">
            <v>0</v>
          </cell>
          <cell r="X19">
            <v>79.759900000000002</v>
          </cell>
          <cell r="Y19">
            <v>0</v>
          </cell>
          <cell r="Z19">
            <v>29.414200000000001</v>
          </cell>
          <cell r="AA19">
            <v>251.8646</v>
          </cell>
          <cell r="AB19">
            <v>172.10470000000001</v>
          </cell>
          <cell r="AF19" t="str">
            <v>M0016</v>
          </cell>
          <cell r="AG19" t="str">
            <v>Grampo sargento nº 4</v>
          </cell>
          <cell r="AH19" t="str">
            <v>un</v>
          </cell>
          <cell r="AI19">
            <v>33.369999999999997</v>
          </cell>
        </row>
        <row r="20">
          <cell r="C20">
            <v>8.9999999999999993E-3</v>
          </cell>
          <cell r="D20" t="str">
            <v>t</v>
          </cell>
          <cell r="F20">
            <v>2009.19667</v>
          </cell>
          <cell r="I20">
            <v>18.082770029999999</v>
          </cell>
          <cell r="R20" t="str">
            <v>E9015</v>
          </cell>
          <cell r="S20" t="str">
            <v>Elevador de obra - 9 kW</v>
          </cell>
          <cell r="T20">
            <v>26830.25</v>
          </cell>
          <cell r="U20">
            <v>2.1463999999999999</v>
          </cell>
          <cell r="V20">
            <v>0.2535</v>
          </cell>
          <cell r="W20">
            <v>0</v>
          </cell>
          <cell r="X20">
            <v>1.8781000000000001</v>
          </cell>
          <cell r="Y20">
            <v>0</v>
          </cell>
          <cell r="Z20">
            <v>21.640999999999998</v>
          </cell>
          <cell r="AA20">
            <v>25.919</v>
          </cell>
          <cell r="AB20">
            <v>24.040900000000001</v>
          </cell>
          <cell r="AF20" t="str">
            <v>M0017</v>
          </cell>
          <cell r="AG20" t="str">
            <v>Saco de aniagem ou de ráfia de 95 x 65 cm de 50 kg</v>
          </cell>
          <cell r="AH20" t="str">
            <v>un</v>
          </cell>
          <cell r="AI20">
            <v>1.6675</v>
          </cell>
        </row>
        <row r="21">
          <cell r="C21">
            <v>1</v>
          </cell>
          <cell r="D21" t="str">
            <v>m³</v>
          </cell>
          <cell r="F21">
            <v>0</v>
          </cell>
          <cell r="I21">
            <v>0</v>
          </cell>
          <cell r="R21" t="str">
            <v>E9016</v>
          </cell>
          <cell r="S21" t="str">
            <v>Usina misturadora móvel de reciclagem a frio com sistema de espuma de asfalto - 129 kW</v>
          </cell>
          <cell r="T21">
            <v>5080103.68</v>
          </cell>
          <cell r="U21">
            <v>296.33940000000001</v>
          </cell>
          <cell r="V21">
            <v>46.673499999999997</v>
          </cell>
          <cell r="W21">
            <v>37.042400000000001</v>
          </cell>
          <cell r="X21">
            <v>381.00779999999997</v>
          </cell>
          <cell r="Y21">
            <v>57.828099999999999</v>
          </cell>
          <cell r="Z21">
            <v>35.442</v>
          </cell>
          <cell r="AA21">
            <v>854.33320000000003</v>
          </cell>
          <cell r="AB21">
            <v>415.4973</v>
          </cell>
          <cell r="AF21" t="str">
            <v>M0018</v>
          </cell>
          <cell r="AG21" t="str">
            <v>Grampo pesado para cabo de aço - D = 13 mm</v>
          </cell>
          <cell r="AH21" t="str">
            <v>un</v>
          </cell>
          <cell r="AI21">
            <v>12.1342</v>
          </cell>
        </row>
        <row r="22">
          <cell r="C22" t="str">
            <v>Custo unitário total de material</v>
          </cell>
          <cell r="I22">
            <v>21.042833828999999</v>
          </cell>
          <cell r="R22" t="str">
            <v>E9017</v>
          </cell>
          <cell r="S22" t="str">
            <v>Escavadeira hidráulica sobre esteira com capacidade de 0,4 m³ - 64 kW</v>
          </cell>
          <cell r="T22">
            <v>445914.35680000001</v>
          </cell>
          <cell r="U22">
            <v>31.213999999999999</v>
          </cell>
          <cell r="V22">
            <v>4.2138999999999998</v>
          </cell>
          <cell r="W22">
            <v>0</v>
          </cell>
          <cell r="X22">
            <v>31.213999999999999</v>
          </cell>
          <cell r="Y22">
            <v>26.640599999999999</v>
          </cell>
          <cell r="Z22">
            <v>27.014800000000001</v>
          </cell>
          <cell r="AA22">
            <v>120.29730000000001</v>
          </cell>
          <cell r="AB22">
            <v>62.442700000000002</v>
          </cell>
          <cell r="AF22" t="str">
            <v>M0019</v>
          </cell>
          <cell r="AG22" t="str">
            <v>Esticador para cabo de aço - D = 13 mm</v>
          </cell>
          <cell r="AH22" t="str">
            <v>un</v>
          </cell>
          <cell r="AI22">
            <v>80.696600000000004</v>
          </cell>
        </row>
        <row r="23">
          <cell r="C23" t="str">
            <v>Quantidade</v>
          </cell>
          <cell r="D23" t="str">
            <v>Unidade</v>
          </cell>
          <cell r="E23" t="str">
            <v>Custo Unitário</v>
          </cell>
          <cell r="G23" t="str">
            <v>Custo Unitário</v>
          </cell>
          <cell r="R23" t="str">
            <v>E9019</v>
          </cell>
          <cell r="S23" t="str">
            <v>Câmara hiperbárica com filtro, serpentina e reservatório de ar - D = 1,80 m e H = 2 m</v>
          </cell>
          <cell r="T23">
            <v>269070.56800000003</v>
          </cell>
          <cell r="U23">
            <v>9.4175000000000004</v>
          </cell>
          <cell r="V23">
            <v>4.4497999999999998</v>
          </cell>
          <cell r="W23">
            <v>0</v>
          </cell>
          <cell r="X23">
            <v>13.4535</v>
          </cell>
          <cell r="Y23">
            <v>0</v>
          </cell>
          <cell r="Z23">
            <v>21.640999999999998</v>
          </cell>
          <cell r="AA23">
            <v>48.961799999999997</v>
          </cell>
          <cell r="AB23">
            <v>35.508299999999998</v>
          </cell>
          <cell r="AF23" t="str">
            <v>M0020</v>
          </cell>
          <cell r="AG23" t="str">
            <v>Grampo de ancoragem CA 50 - D = 6,3 mm</v>
          </cell>
          <cell r="AH23" t="str">
            <v>kg</v>
          </cell>
          <cell r="AI23">
            <v>4.0663999999999998</v>
          </cell>
        </row>
        <row r="24">
          <cell r="C24">
            <v>1</v>
          </cell>
          <cell r="D24" t="str">
            <v>m³</v>
          </cell>
          <cell r="F24">
            <v>565.66</v>
          </cell>
          <cell r="I24">
            <v>565.66</v>
          </cell>
          <cell r="R24" t="str">
            <v>E9020</v>
          </cell>
          <cell r="S24" t="str">
            <v>Recicladora a frio com espuma de asfalto - 455 kW</v>
          </cell>
          <cell r="T24">
            <v>3243501.571</v>
          </cell>
          <cell r="U24">
            <v>189.20429999999999</v>
          </cell>
          <cell r="V24">
            <v>29.799700000000001</v>
          </cell>
          <cell r="W24">
            <v>0</v>
          </cell>
          <cell r="X24">
            <v>270.29180000000002</v>
          </cell>
          <cell r="Y24">
            <v>291.38200000000001</v>
          </cell>
          <cell r="Z24">
            <v>35.442</v>
          </cell>
          <cell r="AA24">
            <v>816.11980000000005</v>
          </cell>
          <cell r="AB24">
            <v>254.446</v>
          </cell>
          <cell r="AF24" t="str">
            <v>M0021</v>
          </cell>
          <cell r="AG24" t="str">
            <v>Herbicida glifosato para áreas contínuas</v>
          </cell>
          <cell r="AH24" t="str">
            <v>l</v>
          </cell>
          <cell r="AI24">
            <v>18.7209</v>
          </cell>
        </row>
        <row r="25">
          <cell r="C25" t="str">
            <v>Custo total de atividades auxiliares</v>
          </cell>
          <cell r="I25">
            <v>565.66</v>
          </cell>
          <cell r="R25" t="str">
            <v>E9021</v>
          </cell>
          <cell r="S25" t="str">
            <v>Grupo gerador - 456 kVA</v>
          </cell>
          <cell r="T25">
            <v>183168.06450000001</v>
          </cell>
          <cell r="U25">
            <v>9.1584000000000003</v>
          </cell>
          <cell r="V25">
            <v>1.6485000000000001</v>
          </cell>
          <cell r="W25">
            <v>0</v>
          </cell>
          <cell r="X25">
            <v>6.5416999999999996</v>
          </cell>
          <cell r="Y25">
            <v>222.05869999999999</v>
          </cell>
          <cell r="Z25">
            <v>0</v>
          </cell>
          <cell r="AA25">
            <v>239.40729999999999</v>
          </cell>
          <cell r="AB25">
            <v>10.806900000000001</v>
          </cell>
          <cell r="AF25" t="str">
            <v>M0025</v>
          </cell>
          <cell r="AG25" t="str">
            <v>Adesivo plástico para tubos de PVC</v>
          </cell>
          <cell r="AH25" t="str">
            <v>kg</v>
          </cell>
          <cell r="AI25">
            <v>30.436</v>
          </cell>
        </row>
        <row r="26">
          <cell r="G26" t="str">
            <v>Subtotal</v>
          </cell>
          <cell r="R26" t="str">
            <v>E9022</v>
          </cell>
          <cell r="S26" t="str">
            <v>Pórtico rolante com capacidade de 25 t - 30 kW</v>
          </cell>
          <cell r="T26">
            <v>451972.18849999999</v>
          </cell>
          <cell r="U26">
            <v>20.338699999999999</v>
          </cell>
          <cell r="V26">
            <v>3.9152</v>
          </cell>
          <cell r="W26">
            <v>0</v>
          </cell>
          <cell r="X26">
            <v>15.819000000000001</v>
          </cell>
          <cell r="Y26">
            <v>0</v>
          </cell>
          <cell r="Z26">
            <v>21.640999999999998</v>
          </cell>
          <cell r="AA26">
            <v>61.713900000000002</v>
          </cell>
          <cell r="AB26">
            <v>45.8949</v>
          </cell>
          <cell r="AF26" t="str">
            <v>M0026</v>
          </cell>
          <cell r="AG26" t="str">
            <v>Aditivo aglutinante para argamassa</v>
          </cell>
          <cell r="AH26" t="str">
            <v>l</v>
          </cell>
          <cell r="AI26">
            <v>6.4019000000000004</v>
          </cell>
        </row>
        <row r="27">
          <cell r="C27" t="str">
            <v>Código</v>
          </cell>
          <cell r="D27" t="str">
            <v>Quantidade</v>
          </cell>
          <cell r="E27" t="str">
            <v>Unidade</v>
          </cell>
          <cell r="F27" t="str">
            <v>Custo Unitário</v>
          </cell>
          <cell r="H27" t="str">
            <v>Custo Unitário</v>
          </cell>
          <cell r="R27" t="str">
            <v>E9023</v>
          </cell>
          <cell r="S27" t="str">
            <v>Guindaste sobre esteiras com dragline com capacidade de 1,9 a 2,3 m³ - 270 kW</v>
          </cell>
          <cell r="T27">
            <v>2464690.13</v>
          </cell>
          <cell r="U27">
            <v>86.264200000000002</v>
          </cell>
          <cell r="V27">
            <v>21.3504</v>
          </cell>
          <cell r="W27">
            <v>0</v>
          </cell>
          <cell r="X27">
            <v>123.2345</v>
          </cell>
          <cell r="Y27">
            <v>43.226999999999997</v>
          </cell>
          <cell r="Z27">
            <v>35.442</v>
          </cell>
          <cell r="AA27">
            <v>309.5181</v>
          </cell>
          <cell r="AB27">
            <v>143.0566</v>
          </cell>
          <cell r="AF27" t="str">
            <v>M0028</v>
          </cell>
          <cell r="AG27" t="str">
            <v>Areia média</v>
          </cell>
          <cell r="AH27" t="str">
            <v>m³</v>
          </cell>
          <cell r="AI27">
            <v>56.8108</v>
          </cell>
        </row>
        <row r="28">
          <cell r="C28">
            <v>5915476</v>
          </cell>
          <cell r="D28">
            <v>2.4</v>
          </cell>
          <cell r="E28" t="str">
            <v>t</v>
          </cell>
          <cell r="G28">
            <v>50.44</v>
          </cell>
          <cell r="I28">
            <v>121.05599999999998</v>
          </cell>
          <cell r="R28" t="str">
            <v>E9024</v>
          </cell>
          <cell r="S28" t="str">
            <v>Misturador de nata cimento - 1,5 kW</v>
          </cell>
          <cell r="T28">
            <v>4436.5703999999996</v>
          </cell>
          <cell r="U28">
            <v>0.35489999999999999</v>
          </cell>
          <cell r="V28">
            <v>4.19E-2</v>
          </cell>
          <cell r="W28">
            <v>0</v>
          </cell>
          <cell r="X28">
            <v>0.31059999999999999</v>
          </cell>
          <cell r="Y28">
            <v>0</v>
          </cell>
          <cell r="Z28">
            <v>21.640999999999998</v>
          </cell>
          <cell r="AA28">
            <v>22.348400000000002</v>
          </cell>
          <cell r="AB28">
            <v>22.037800000000001</v>
          </cell>
          <cell r="AF28" t="str">
            <v>M0029</v>
          </cell>
          <cell r="AG28" t="str">
            <v>Microssílica</v>
          </cell>
          <cell r="AH28" t="str">
            <v>kg</v>
          </cell>
          <cell r="AI28">
            <v>1.2255</v>
          </cell>
        </row>
        <row r="29">
          <cell r="C29">
            <v>5914328</v>
          </cell>
          <cell r="D29">
            <v>2.4</v>
          </cell>
          <cell r="E29" t="str">
            <v>t</v>
          </cell>
          <cell r="G29">
            <v>15.08</v>
          </cell>
          <cell r="I29">
            <v>36.192</v>
          </cell>
          <cell r="R29" t="str">
            <v>E9025</v>
          </cell>
          <cell r="S29" t="str">
            <v>Conjunto bomba e macaco hidráulico para protensão com capacidade de 7.000 kN</v>
          </cell>
          <cell r="T29">
            <v>83452.463900000002</v>
          </cell>
          <cell r="U29">
            <v>4.7686999999999999</v>
          </cell>
          <cell r="V29">
            <v>0.75109999999999999</v>
          </cell>
          <cell r="W29">
            <v>0</v>
          </cell>
          <cell r="X29">
            <v>4.7686999999999999</v>
          </cell>
          <cell r="Y29">
            <v>0</v>
          </cell>
          <cell r="Z29">
            <v>35.442</v>
          </cell>
          <cell r="AA29">
            <v>45.730499999999999</v>
          </cell>
          <cell r="AB29">
            <v>40.961799999999997</v>
          </cell>
          <cell r="AF29" t="str">
            <v>M0030</v>
          </cell>
          <cell r="AG29" t="str">
            <v>Aditivo plastificante e retardador tipo Plastiment ou similar</v>
          </cell>
          <cell r="AH29" t="str">
            <v>kg</v>
          </cell>
          <cell r="AI29">
            <v>5.7961</v>
          </cell>
        </row>
        <row r="30">
          <cell r="C30" t="str">
            <v>Custo unitário total de tempo fixo</v>
          </cell>
          <cell r="I30">
            <v>157.24799999999999</v>
          </cell>
          <cell r="R30" t="str">
            <v>E9026</v>
          </cell>
          <cell r="S30" t="str">
            <v>Bomba para injeção de nata de cimento - 2,2 kW</v>
          </cell>
          <cell r="T30">
            <v>18169.777999999998</v>
          </cell>
          <cell r="U30">
            <v>1.4536</v>
          </cell>
          <cell r="V30">
            <v>0.17169999999999999</v>
          </cell>
          <cell r="W30">
            <v>0</v>
          </cell>
          <cell r="X30">
            <v>1.2719</v>
          </cell>
          <cell r="Y30">
            <v>0</v>
          </cell>
          <cell r="Z30">
            <v>0</v>
          </cell>
          <cell r="AA30">
            <v>2.8972000000000002</v>
          </cell>
          <cell r="AB30">
            <v>1.6253</v>
          </cell>
          <cell r="AF30" t="str">
            <v>M0032</v>
          </cell>
          <cell r="AG30" t="str">
            <v>Cola de contato para laminado elastoplástico</v>
          </cell>
          <cell r="AH30" t="str">
            <v>kg</v>
          </cell>
          <cell r="AI30">
            <v>12.8028</v>
          </cell>
        </row>
        <row r="31">
          <cell r="C31" t="str">
            <v>Quantidade</v>
          </cell>
          <cell r="D31" t="str">
            <v>Unidade</v>
          </cell>
          <cell r="E31" t="str">
            <v>DMT</v>
          </cell>
          <cell r="I31" t="str">
            <v>Custo Unitário</v>
          </cell>
          <cell r="R31" t="str">
            <v>E9028</v>
          </cell>
          <cell r="S31" t="str">
            <v>Lavadora profissional - 5,2 kW</v>
          </cell>
          <cell r="T31">
            <v>2123.3247000000001</v>
          </cell>
          <cell r="U31">
            <v>0.1699</v>
          </cell>
          <cell r="V31">
            <v>2.01E-2</v>
          </cell>
          <cell r="W31">
            <v>0</v>
          </cell>
          <cell r="X31">
            <v>0.19109999999999999</v>
          </cell>
          <cell r="Y31">
            <v>6.9961000000000002</v>
          </cell>
          <cell r="Z31">
            <v>21.640999999999998</v>
          </cell>
          <cell r="AA31">
            <v>29.0182</v>
          </cell>
          <cell r="AB31">
            <v>21.831</v>
          </cell>
          <cell r="AF31" t="str">
            <v>M0039</v>
          </cell>
          <cell r="AG31" t="str">
            <v>Gasolina</v>
          </cell>
          <cell r="AH31" t="str">
            <v>l</v>
          </cell>
          <cell r="AI31">
            <v>3.8439999999999999</v>
          </cell>
        </row>
        <row r="32">
          <cell r="E32" t="str">
            <v>LN</v>
          </cell>
          <cell r="F32" t="str">
            <v>RP</v>
          </cell>
          <cell r="G32" t="str">
            <v>P</v>
          </cell>
          <cell r="R32" t="str">
            <v>E9029</v>
          </cell>
          <cell r="S32" t="str">
            <v>Conjunto bomba e macaco hidráulico para protensão com capacidade de 8.000 kN</v>
          </cell>
          <cell r="T32">
            <v>106116.23209999999</v>
          </cell>
          <cell r="U32">
            <v>6.0637999999999996</v>
          </cell>
          <cell r="V32">
            <v>0.95499999999999996</v>
          </cell>
          <cell r="W32">
            <v>0</v>
          </cell>
          <cell r="X32">
            <v>6.0637999999999996</v>
          </cell>
          <cell r="Y32">
            <v>0</v>
          </cell>
          <cell r="Z32">
            <v>35.442</v>
          </cell>
          <cell r="AA32">
            <v>48.5246</v>
          </cell>
          <cell r="AB32">
            <v>42.460799999999999</v>
          </cell>
          <cell r="AF32" t="str">
            <v>M0041</v>
          </cell>
          <cell r="AG32" t="str">
            <v>Container de 1 TEU com 2 banheiros</v>
          </cell>
          <cell r="AH32" t="str">
            <v>un</v>
          </cell>
          <cell r="AI32">
            <v>32695.2925</v>
          </cell>
        </row>
        <row r="33">
          <cell r="C33">
            <v>2.4</v>
          </cell>
          <cell r="D33" t="str">
            <v>tkm</v>
          </cell>
          <cell r="E33">
            <v>5914314</v>
          </cell>
          <cell r="F33">
            <v>5914329</v>
          </cell>
          <cell r="G33">
            <v>5914344</v>
          </cell>
          <cell r="R33" t="str">
            <v>E9030</v>
          </cell>
          <cell r="S33" t="str">
            <v>Bomba de protensão com leitura digital para tensionamento de estais - 3 kW</v>
          </cell>
          <cell r="T33">
            <v>9892.0486999999994</v>
          </cell>
          <cell r="U33">
            <v>0.56530000000000002</v>
          </cell>
          <cell r="V33">
            <v>8.8999999999999996E-2</v>
          </cell>
          <cell r="W33">
            <v>0</v>
          </cell>
          <cell r="X33">
            <v>0.56530000000000002</v>
          </cell>
          <cell r="Y33">
            <v>0</v>
          </cell>
          <cell r="Z33">
            <v>0</v>
          </cell>
          <cell r="AA33">
            <v>1.2196</v>
          </cell>
          <cell r="AB33">
            <v>0.65429999999999999</v>
          </cell>
          <cell r="AF33" t="str">
            <v>M0042</v>
          </cell>
          <cell r="AG33" t="str">
            <v>Container de 1 TEU com janela</v>
          </cell>
          <cell r="AH33" t="str">
            <v>un</v>
          </cell>
          <cell r="AI33">
            <v>25541.532999999999</v>
          </cell>
        </row>
        <row r="34">
          <cell r="C34">
            <v>2.4</v>
          </cell>
          <cell r="D34" t="str">
            <v>tkm</v>
          </cell>
          <cell r="E34">
            <v>5914314</v>
          </cell>
          <cell r="F34">
            <v>5914329</v>
          </cell>
          <cell r="G34">
            <v>5914344</v>
          </cell>
          <cell r="R34" t="str">
            <v>E9031</v>
          </cell>
          <cell r="S34" t="str">
            <v>Elevador de cremalheira com cabine simples, com capacidade de 1.500 kg e altura de até 100 m - 15 kW</v>
          </cell>
          <cell r="T34">
            <v>149101.01610000001</v>
          </cell>
          <cell r="U34">
            <v>11.928100000000001</v>
          </cell>
          <cell r="V34">
            <v>1.409</v>
          </cell>
          <cell r="W34">
            <v>0</v>
          </cell>
          <cell r="X34">
            <v>10.437099999999999</v>
          </cell>
          <cell r="Y34">
            <v>0</v>
          </cell>
          <cell r="Z34">
            <v>21.640999999999998</v>
          </cell>
          <cell r="AA34">
            <v>45.415199999999999</v>
          </cell>
          <cell r="AB34">
            <v>34.978099999999998</v>
          </cell>
          <cell r="AF34" t="str">
            <v>M0043</v>
          </cell>
          <cell r="AG34" t="str">
            <v>Diesel</v>
          </cell>
          <cell r="AH34" t="str">
            <v>l</v>
          </cell>
          <cell r="AI34">
            <v>3.202</v>
          </cell>
        </row>
        <row r="35">
          <cell r="C35" t="str">
            <v>Custo unitário total de transporte</v>
          </cell>
          <cell r="I35" t="str">
            <v>-</v>
          </cell>
          <cell r="R35" t="str">
            <v>E9032</v>
          </cell>
          <cell r="S35" t="str">
            <v>Equipamento para regulagem final de estais com até 37 cordoalhas - D = 15,7 mm - 20 kW</v>
          </cell>
          <cell r="T35">
            <v>62220.045100000003</v>
          </cell>
          <cell r="U35">
            <v>3.5554000000000001</v>
          </cell>
          <cell r="V35">
            <v>0.56000000000000005</v>
          </cell>
          <cell r="W35">
            <v>0</v>
          </cell>
          <cell r="X35">
            <v>3.5554000000000001</v>
          </cell>
          <cell r="Y35">
            <v>0</v>
          </cell>
          <cell r="Z35">
            <v>35.442</v>
          </cell>
          <cell r="AA35">
            <v>43.1128</v>
          </cell>
          <cell r="AB35">
            <v>39.557400000000001</v>
          </cell>
          <cell r="AF35" t="str">
            <v>M0044</v>
          </cell>
          <cell r="AG35" t="str">
            <v>Abrasivo de vidro com granulometria de 250 a 420 microns</v>
          </cell>
          <cell r="AH35" t="str">
            <v>kg</v>
          </cell>
          <cell r="AI35">
            <v>5.6486000000000001</v>
          </cell>
        </row>
        <row r="36">
          <cell r="C36">
            <v>4915757</v>
          </cell>
          <cell r="D36" t="str">
            <v>m³</v>
          </cell>
          <cell r="E36" t="str">
            <v>Custo unitário direto total</v>
          </cell>
          <cell r="I36">
            <v>967.11096954328559</v>
          </cell>
          <cell r="R36" t="str">
            <v>E9033</v>
          </cell>
          <cell r="S36" t="str">
            <v>Equipamento para regulagem final de estais de 38 a 55 cordoalhas - D = 15,7 mm - 30 kW</v>
          </cell>
          <cell r="T36">
            <v>88885.778699999995</v>
          </cell>
          <cell r="U36">
            <v>5.0792000000000002</v>
          </cell>
          <cell r="V36">
            <v>0.8</v>
          </cell>
          <cell r="W36">
            <v>0</v>
          </cell>
          <cell r="X36">
            <v>5.0792000000000002</v>
          </cell>
          <cell r="Y36">
            <v>0</v>
          </cell>
          <cell r="Z36">
            <v>35.442</v>
          </cell>
          <cell r="AA36">
            <v>46.400399999999998</v>
          </cell>
          <cell r="AB36">
            <v>41.321199999999997</v>
          </cell>
          <cell r="AF36" t="str">
            <v>M0045</v>
          </cell>
          <cell r="AG36" t="str">
            <v>Barreira plástica monobloco para canalização de trânsito de 101 x 50 x 55 cm</v>
          </cell>
          <cell r="AH36" t="str">
            <v>un</v>
          </cell>
          <cell r="AI36">
            <v>845.02</v>
          </cell>
        </row>
        <row r="37">
          <cell r="R37" t="str">
            <v>E9034</v>
          </cell>
          <cell r="S37" t="str">
            <v>Equipamento para regulagem final de estais de 56 a 73 cordoalhas - D = 15,7 mm - 40 kW</v>
          </cell>
          <cell r="T37">
            <v>133328.66819999999</v>
          </cell>
          <cell r="U37">
            <v>7.6188000000000002</v>
          </cell>
          <cell r="V37">
            <v>1.2</v>
          </cell>
          <cell r="W37">
            <v>0</v>
          </cell>
          <cell r="X37">
            <v>7.6188000000000002</v>
          </cell>
          <cell r="Y37">
            <v>0</v>
          </cell>
          <cell r="Z37">
            <v>35.442</v>
          </cell>
          <cell r="AA37">
            <v>51.879600000000003</v>
          </cell>
          <cell r="AB37">
            <v>44.260800000000003</v>
          </cell>
          <cell r="AF37" t="str">
            <v>M0046</v>
          </cell>
          <cell r="AG37" t="str">
            <v>Barreira plástica para canalização de trânsito de 60 x 45 x 60 cm</v>
          </cell>
          <cell r="AH37" t="str">
            <v>un</v>
          </cell>
          <cell r="AI37">
            <v>369.9871</v>
          </cell>
        </row>
        <row r="38">
          <cell r="R38" t="str">
            <v>E9035</v>
          </cell>
          <cell r="S38" t="str">
            <v>Equipamento para regulagem final de estais de 74 a 91 cordoalhas - D = 15,7 mm - 50 kW</v>
          </cell>
          <cell r="T38">
            <v>177771.5575</v>
          </cell>
          <cell r="U38">
            <v>10.1584</v>
          </cell>
          <cell r="V38">
            <v>1.5999000000000001</v>
          </cell>
          <cell r="W38">
            <v>0</v>
          </cell>
          <cell r="X38">
            <v>10.1584</v>
          </cell>
          <cell r="Y38">
            <v>0</v>
          </cell>
          <cell r="Z38">
            <v>35.442</v>
          </cell>
          <cell r="AA38">
            <v>57.358699999999999</v>
          </cell>
          <cell r="AB38">
            <v>47.200299999999999</v>
          </cell>
          <cell r="AF38" t="str">
            <v>M0047</v>
          </cell>
          <cell r="AG38" t="str">
            <v>Cone plástico de sinalização - NBR 15.071</v>
          </cell>
          <cell r="AH38" t="str">
            <v>un</v>
          </cell>
          <cell r="AI38">
            <v>16.437000000000001</v>
          </cell>
        </row>
        <row r="39">
          <cell r="I39" t="str">
            <v>DNIT</v>
          </cell>
          <cell r="R39" t="str">
            <v>E9036</v>
          </cell>
          <cell r="S39" t="str">
            <v>Grua fixa para alturas de 60 a 198 m, com alcance de 60 m com capacidade de 1.500 kg na ponta da lança - 37 kW</v>
          </cell>
          <cell r="T39">
            <v>1293084</v>
          </cell>
          <cell r="U39">
            <v>64.654200000000003</v>
          </cell>
          <cell r="V39">
            <v>11.6378</v>
          </cell>
          <cell r="W39">
            <v>0</v>
          </cell>
          <cell r="X39">
            <v>73.890500000000003</v>
          </cell>
          <cell r="Y39">
            <v>0</v>
          </cell>
          <cell r="Z39">
            <v>35.442</v>
          </cell>
          <cell r="AA39">
            <v>185.62450000000001</v>
          </cell>
          <cell r="AB39">
            <v>111.73399999999999</v>
          </cell>
          <cell r="AF39" t="str">
            <v>M0048</v>
          </cell>
          <cell r="AG39" t="str">
            <v>Balizador cônico refletivo em polietileno semiflexível de 114 x 11 x 40 cm</v>
          </cell>
          <cell r="AH39" t="str">
            <v>un</v>
          </cell>
          <cell r="AI39">
            <v>125.8295</v>
          </cell>
        </row>
        <row r="40">
          <cell r="R40" t="str">
            <v>E9038</v>
          </cell>
          <cell r="S40" t="str">
            <v>Macaco hidráulico monocordoalha para tensionamento de estais</v>
          </cell>
          <cell r="T40">
            <v>12517.891299999999</v>
          </cell>
          <cell r="U40">
            <v>0.71530000000000005</v>
          </cell>
          <cell r="V40">
            <v>0.11269999999999999</v>
          </cell>
          <cell r="W40">
            <v>0</v>
          </cell>
          <cell r="X40">
            <v>0.71530000000000005</v>
          </cell>
          <cell r="Y40">
            <v>0</v>
          </cell>
          <cell r="Z40">
            <v>35.442</v>
          </cell>
          <cell r="AA40">
            <v>36.985300000000002</v>
          </cell>
          <cell r="AB40">
            <v>36.270000000000003</v>
          </cell>
          <cell r="AF40" t="str">
            <v>M0049</v>
          </cell>
          <cell r="AG40" t="str">
            <v>Delimitador de tráfego flexível com duas faixas refletivas com chumbador - D = 20 cm e H = 80 cm</v>
          </cell>
          <cell r="AH40" t="str">
            <v>un</v>
          </cell>
          <cell r="AI40">
            <v>229</v>
          </cell>
        </row>
        <row r="41">
          <cell r="D41" t="str">
            <v>Outubro/2019</v>
          </cell>
          <cell r="G41" t="str">
            <v>Produção da equipe</v>
          </cell>
          <cell r="H41">
            <v>30.39</v>
          </cell>
          <cell r="I41" t="str">
            <v>m³</v>
          </cell>
          <cell r="R41" t="str">
            <v>E9039</v>
          </cell>
          <cell r="S41" t="str">
            <v>Máquina de solda por termofusão para tubos PEAD com gerador de 5,5 kVA</v>
          </cell>
          <cell r="T41">
            <v>71432.923999999999</v>
          </cell>
          <cell r="U41">
            <v>4.0819000000000001</v>
          </cell>
          <cell r="V41">
            <v>0.64290000000000003</v>
          </cell>
          <cell r="W41">
            <v>0</v>
          </cell>
          <cell r="X41">
            <v>4.0819000000000001</v>
          </cell>
          <cell r="Y41">
            <v>2.4335</v>
          </cell>
          <cell r="Z41">
            <v>35.442</v>
          </cell>
          <cell r="AA41">
            <v>46.682200000000002</v>
          </cell>
          <cell r="AB41">
            <v>40.166800000000002</v>
          </cell>
          <cell r="AF41" t="str">
            <v>M0050</v>
          </cell>
          <cell r="AG41" t="str">
            <v>Adesivo fixador para hidrossemeadura - Goma Xantana</v>
          </cell>
          <cell r="AH41" t="str">
            <v>kg</v>
          </cell>
          <cell r="AI41">
            <v>28.885200000000001</v>
          </cell>
        </row>
        <row r="42">
          <cell r="H42" t="str">
            <v>Valores em reais (R$)</v>
          </cell>
          <cell r="R42" t="str">
            <v>E9040</v>
          </cell>
          <cell r="S42" t="str">
            <v>Serra mármore - 1,45 kW</v>
          </cell>
          <cell r="T42">
            <v>348.58319999999998</v>
          </cell>
          <cell r="U42">
            <v>3.1399999999999997E-2</v>
          </cell>
          <cell r="V42">
            <v>3.3E-3</v>
          </cell>
          <cell r="W42">
            <v>0</v>
          </cell>
          <cell r="X42">
            <v>1.7399999999999999E-2</v>
          </cell>
          <cell r="Y42">
            <v>0</v>
          </cell>
          <cell r="Z42">
            <v>0</v>
          </cell>
          <cell r="AA42">
            <v>5.21E-2</v>
          </cell>
          <cell r="AB42">
            <v>3.4700000000000002E-2</v>
          </cell>
          <cell r="AF42" t="str">
            <v>M0051</v>
          </cell>
          <cell r="AG42" t="str">
            <v>Cilindro canalizador de tráfego com base quadrada de 111 x 56 x 56 cm - NBR 15.692:2009</v>
          </cell>
          <cell r="AH42" t="str">
            <v>un</v>
          </cell>
          <cell r="AI42">
            <v>276.2321</v>
          </cell>
        </row>
        <row r="43">
          <cell r="C43" t="str">
            <v>Quantidade</v>
          </cell>
          <cell r="D43" t="str">
            <v>Utilização</v>
          </cell>
          <cell r="F43" t="str">
            <v>Custo Horário</v>
          </cell>
          <cell r="I43" t="str">
            <v>Custo</v>
          </cell>
          <cell r="R43" t="str">
            <v>E9042</v>
          </cell>
          <cell r="S43" t="str">
            <v>Trator de esteiras com lâmina - 74,5 kW</v>
          </cell>
          <cell r="T43">
            <v>1066864.69</v>
          </cell>
          <cell r="U43">
            <v>41.489199999999997</v>
          </cell>
          <cell r="V43">
            <v>9.3351000000000006</v>
          </cell>
          <cell r="W43">
            <v>0</v>
          </cell>
          <cell r="X43">
            <v>59.270299999999999</v>
          </cell>
          <cell r="Y43">
            <v>33.396900000000002</v>
          </cell>
          <cell r="Z43">
            <v>27.014800000000001</v>
          </cell>
          <cell r="AA43">
            <v>170.50630000000001</v>
          </cell>
          <cell r="AB43">
            <v>77.839100000000002</v>
          </cell>
          <cell r="AF43" t="str">
            <v>M0052</v>
          </cell>
          <cell r="AG43" t="str">
            <v>Fita de PVC de 50 mm x 50m</v>
          </cell>
          <cell r="AH43" t="str">
            <v>m</v>
          </cell>
          <cell r="AI43">
            <v>8.0100000000000005E-2</v>
          </cell>
        </row>
        <row r="44">
          <cell r="D44" t="str">
            <v>Operativa</v>
          </cell>
          <cell r="E44" t="str">
            <v>Improdutiva</v>
          </cell>
          <cell r="F44" t="str">
            <v>Produtivo</v>
          </cell>
          <cell r="G44" t="str">
            <v>Improdutivo</v>
          </cell>
          <cell r="I44" t="str">
            <v>Horário Total</v>
          </cell>
          <cell r="R44" t="str">
            <v>E9043</v>
          </cell>
          <cell r="S44" t="str">
            <v>Barco de alumínio com comprimento de 6 m e motor de popa - 30 HP</v>
          </cell>
          <cell r="T44">
            <v>21040.450700000001</v>
          </cell>
          <cell r="U44">
            <v>0.32879999999999998</v>
          </cell>
          <cell r="V44">
            <v>6.3299999999999995E-2</v>
          </cell>
          <cell r="W44">
            <v>0</v>
          </cell>
          <cell r="X44">
            <v>0.36530000000000001</v>
          </cell>
          <cell r="Y44">
            <v>34.4422</v>
          </cell>
          <cell r="Z44">
            <v>28.914300000000001</v>
          </cell>
          <cell r="AA44">
            <v>64.113900000000001</v>
          </cell>
          <cell r="AB44">
            <v>29.3064</v>
          </cell>
          <cell r="AF44" t="str">
            <v>M0053</v>
          </cell>
          <cell r="AG44" t="str">
            <v>Tela plástica para tapume cor laranja - L = 1,2 m</v>
          </cell>
          <cell r="AH44" t="str">
            <v>m</v>
          </cell>
          <cell r="AI44">
            <v>1.1946000000000001</v>
          </cell>
        </row>
        <row r="45">
          <cell r="C45">
            <v>1</v>
          </cell>
          <cell r="D45">
            <v>0.28000000000000003</v>
          </cell>
          <cell r="E45">
            <v>0.72</v>
          </cell>
          <cell r="F45">
            <v>150.82040000000001</v>
          </cell>
          <cell r="G45">
            <v>45.980899999999998</v>
          </cell>
          <cell r="I45">
            <v>75.33596</v>
          </cell>
          <cell r="R45" t="str">
            <v>E9044</v>
          </cell>
          <cell r="S45" t="str">
            <v>Central de concreto com capacidade de 150 m³/h - dosadora e misturadora</v>
          </cell>
          <cell r="T45">
            <v>2326375.3530000001</v>
          </cell>
          <cell r="U45">
            <v>132.9357</v>
          </cell>
          <cell r="V45">
            <v>20.9374</v>
          </cell>
          <cell r="W45">
            <v>0</v>
          </cell>
          <cell r="X45">
            <v>116.3188</v>
          </cell>
          <cell r="Y45">
            <v>0</v>
          </cell>
          <cell r="Z45">
            <v>35.442</v>
          </cell>
          <cell r="AA45">
            <v>305.63389999999998</v>
          </cell>
          <cell r="AB45">
            <v>189.3151</v>
          </cell>
          <cell r="AF45" t="str">
            <v>M0054</v>
          </cell>
          <cell r="AG45" t="str">
            <v>Fita zebrada de cor laranja e branca - L = 7 a 8 cm</v>
          </cell>
          <cell r="AH45" t="str">
            <v>m</v>
          </cell>
          <cell r="AI45">
            <v>5.8400000000000001E-2</v>
          </cell>
        </row>
        <row r="46">
          <cell r="C46">
            <v>1</v>
          </cell>
          <cell r="D46">
            <v>1</v>
          </cell>
          <cell r="E46">
            <v>0</v>
          </cell>
          <cell r="F46">
            <v>945.74990000000003</v>
          </cell>
          <cell r="G46">
            <v>337.11790000000002</v>
          </cell>
          <cell r="I46">
            <v>945.74990000000003</v>
          </cell>
          <cell r="R46" t="str">
            <v>E9045</v>
          </cell>
          <cell r="S46" t="str">
            <v>Conjunto bomba e macaco hidráulico para elevação com capacidade de 490 kN</v>
          </cell>
          <cell r="T46">
            <v>45732.961499999998</v>
          </cell>
          <cell r="U46">
            <v>3.6585999999999999</v>
          </cell>
          <cell r="V46">
            <v>0.43219999999999997</v>
          </cell>
          <cell r="W46">
            <v>0</v>
          </cell>
          <cell r="X46">
            <v>3.6585999999999999</v>
          </cell>
          <cell r="Y46">
            <v>4.4283000000000001</v>
          </cell>
          <cell r="Z46">
            <v>35.442</v>
          </cell>
          <cell r="AA46">
            <v>47.619700000000002</v>
          </cell>
          <cell r="AB46">
            <v>39.532800000000002</v>
          </cell>
          <cell r="AF46" t="str">
            <v>M0055</v>
          </cell>
          <cell r="AG46" t="str">
            <v>Barreira plástica articulável modular na cor amarela de 240 x 100 cm</v>
          </cell>
          <cell r="AH46" t="str">
            <v>un</v>
          </cell>
          <cell r="AI46">
            <v>1783.2704000000001</v>
          </cell>
        </row>
        <row r="47">
          <cell r="C47">
            <v>1</v>
          </cell>
          <cell r="D47">
            <v>0.8</v>
          </cell>
          <cell r="E47">
            <v>0.19999999999999996</v>
          </cell>
          <cell r="F47">
            <v>88.601500000000001</v>
          </cell>
          <cell r="G47">
            <v>41.881799999999998</v>
          </cell>
          <cell r="I47">
            <v>79.257560000000012</v>
          </cell>
          <cell r="R47" t="str">
            <v>E9046</v>
          </cell>
          <cell r="S47" t="str">
            <v>Conjunto bomba e macaco hidráulico para elevação com capacidade de 980 kN</v>
          </cell>
          <cell r="T47">
            <v>54109.480499999998</v>
          </cell>
          <cell r="U47">
            <v>4.3288000000000002</v>
          </cell>
          <cell r="V47">
            <v>0.51129999999999998</v>
          </cell>
          <cell r="W47">
            <v>0</v>
          </cell>
          <cell r="X47">
            <v>4.3288000000000002</v>
          </cell>
          <cell r="Y47">
            <v>4.4283000000000001</v>
          </cell>
          <cell r="Z47">
            <v>35.442</v>
          </cell>
          <cell r="AA47">
            <v>49.039200000000001</v>
          </cell>
          <cell r="AB47">
            <v>40.2821</v>
          </cell>
          <cell r="AF47" t="str">
            <v>M0056</v>
          </cell>
          <cell r="AG47" t="str">
            <v>Ferramenta de corte para removedora de faixa de sinalização (Smith Cutter)</v>
          </cell>
          <cell r="AH47" t="str">
            <v>un</v>
          </cell>
          <cell r="AI47">
            <v>5072.5505000000003</v>
          </cell>
        </row>
        <row r="48">
          <cell r="G48" t="str">
            <v>Custo horário total de equipamentos</v>
          </cell>
          <cell r="I48">
            <v>1100.3434200000002</v>
          </cell>
          <cell r="R48" t="str">
            <v>E9047</v>
          </cell>
          <cell r="S48" t="str">
            <v>Conjunto bomba e macaco hidráulico para elevação com capacidade de 1.470 kN</v>
          </cell>
          <cell r="T48">
            <v>61040.4836</v>
          </cell>
          <cell r="U48">
            <v>4.8832000000000004</v>
          </cell>
          <cell r="V48">
            <v>0.57679999999999998</v>
          </cell>
          <cell r="W48">
            <v>0</v>
          </cell>
          <cell r="X48">
            <v>4.8832000000000004</v>
          </cell>
          <cell r="Y48">
            <v>4.4283000000000001</v>
          </cell>
          <cell r="Z48">
            <v>35.442</v>
          </cell>
          <cell r="AA48">
            <v>50.213500000000003</v>
          </cell>
          <cell r="AB48">
            <v>40.902000000000001</v>
          </cell>
          <cell r="AF48" t="str">
            <v>M0057</v>
          </cell>
          <cell r="AG48" t="str">
            <v>Container de 1 TEU duplo (6,0 m x 4,88 m) com janela</v>
          </cell>
          <cell r="AH48" t="str">
            <v>un</v>
          </cell>
          <cell r="AI48">
            <v>44741.0052</v>
          </cell>
        </row>
        <row r="49">
          <cell r="C49" t="str">
            <v>Quantidade</v>
          </cell>
          <cell r="D49" t="str">
            <v>Unidade</v>
          </cell>
          <cell r="E49" t="str">
            <v>Custo Horário</v>
          </cell>
          <cell r="G49" t="str">
            <v>Custo Horário Total</v>
          </cell>
          <cell r="R49" t="str">
            <v>E9048</v>
          </cell>
          <cell r="S49" t="str">
            <v>Conjunto bomba e macaco hidráulico para elevação com capacidade de 1.960 kN</v>
          </cell>
          <cell r="T49">
            <v>72219.12</v>
          </cell>
          <cell r="U49">
            <v>5.7774999999999999</v>
          </cell>
          <cell r="V49">
            <v>0.6825</v>
          </cell>
          <cell r="W49">
            <v>0</v>
          </cell>
          <cell r="X49">
            <v>5.7774999999999999</v>
          </cell>
          <cell r="Y49">
            <v>4.4283000000000001</v>
          </cell>
          <cell r="Z49">
            <v>35.442</v>
          </cell>
          <cell r="AA49">
            <v>52.107799999999997</v>
          </cell>
          <cell r="AB49">
            <v>41.902000000000001</v>
          </cell>
          <cell r="AF49" t="str">
            <v>M0058</v>
          </cell>
          <cell r="AG49" t="str">
            <v>Container de 1 TEU duplo (6,0 m x 4,88 m) com janela e 2 lavabos</v>
          </cell>
          <cell r="AH49" t="str">
            <v>un</v>
          </cell>
          <cell r="AI49">
            <v>50384.701500000003</v>
          </cell>
        </row>
        <row r="50">
          <cell r="C50">
            <v>8</v>
          </cell>
          <cell r="D50" t="str">
            <v>h</v>
          </cell>
          <cell r="F50">
            <v>19.378599999999999</v>
          </cell>
          <cell r="I50">
            <v>155.02879999999999</v>
          </cell>
          <cell r="R50" t="str">
            <v>E9049</v>
          </cell>
          <cell r="S50" t="str">
            <v>Lavadora profissional de alta pressão com capacidade de 250 MPa - 72 kW</v>
          </cell>
          <cell r="T50">
            <v>381794.4</v>
          </cell>
          <cell r="U50">
            <v>30.543600000000001</v>
          </cell>
          <cell r="V50">
            <v>3.6080000000000001</v>
          </cell>
          <cell r="W50">
            <v>0</v>
          </cell>
          <cell r="X50">
            <v>34.361499999999999</v>
          </cell>
          <cell r="Y50">
            <v>41.5152</v>
          </cell>
          <cell r="Z50">
            <v>21.640999999999998</v>
          </cell>
          <cell r="AA50">
            <v>131.66929999999999</v>
          </cell>
          <cell r="AB50">
            <v>55.7926</v>
          </cell>
          <cell r="AF50" t="str">
            <v>M0059</v>
          </cell>
          <cell r="AG50" t="str">
            <v>Container de 1 TEU com revestimento térmico (ar condicionado) com janela e 1 banheiro</v>
          </cell>
          <cell r="AH50" t="str">
            <v>un</v>
          </cell>
          <cell r="AI50">
            <v>27074.213100000001</v>
          </cell>
        </row>
        <row r="51">
          <cell r="C51" t="str">
            <v>Custo horário total de mão de obra</v>
          </cell>
          <cell r="H51">
            <v>155.02879999999999</v>
          </cell>
          <cell r="R51" t="str">
            <v>E9050</v>
          </cell>
          <cell r="S51" t="str">
            <v>Guindaste sobre rodas com capacidade de 370 kN.m - 75 kW</v>
          </cell>
          <cell r="T51">
            <v>933186.38950000005</v>
          </cell>
          <cell r="U51">
            <v>46.659300000000002</v>
          </cell>
          <cell r="V51">
            <v>8.3986999999999998</v>
          </cell>
          <cell r="W51">
            <v>0</v>
          </cell>
          <cell r="X51">
            <v>59.990600000000001</v>
          </cell>
          <cell r="Y51">
            <v>12.0075</v>
          </cell>
          <cell r="Z51">
            <v>29.414200000000001</v>
          </cell>
          <cell r="AA51">
            <v>156.47030000000001</v>
          </cell>
          <cell r="AB51">
            <v>84.472200000000001</v>
          </cell>
          <cell r="AF51" t="str">
            <v>M0060</v>
          </cell>
          <cell r="AG51" t="str">
            <v>Container 3/4 de 1 TEU com janela</v>
          </cell>
          <cell r="AH51" t="str">
            <v>un</v>
          </cell>
          <cell r="AI51">
            <v>19114.170999999998</v>
          </cell>
        </row>
        <row r="52">
          <cell r="C52" t="str">
            <v>Custo horário total de execução</v>
          </cell>
          <cell r="I52">
            <v>1255.3722200000002</v>
          </cell>
          <cell r="R52" t="str">
            <v>E9051</v>
          </cell>
          <cell r="S52" t="str">
            <v>Máquina levantadora e puxadora de via - 7,4 kW</v>
          </cell>
          <cell r="T52">
            <v>593411.8798</v>
          </cell>
          <cell r="U52">
            <v>47.472999999999999</v>
          </cell>
          <cell r="V52">
            <v>5.6077000000000004</v>
          </cell>
          <cell r="W52">
            <v>0</v>
          </cell>
          <cell r="X52">
            <v>41.538800000000002</v>
          </cell>
          <cell r="Y52">
            <v>7.9648000000000003</v>
          </cell>
          <cell r="Z52">
            <v>21.640999999999998</v>
          </cell>
          <cell r="AA52">
            <v>124.2253</v>
          </cell>
          <cell r="AB52">
            <v>74.721699999999998</v>
          </cell>
          <cell r="AF52" t="str">
            <v>M0061</v>
          </cell>
          <cell r="AG52" t="str">
            <v>Apoio de neoprene fretado de 100 x 100 x 28 mm</v>
          </cell>
          <cell r="AH52" t="str">
            <v>un</v>
          </cell>
          <cell r="AI52">
            <v>21.367999999999999</v>
          </cell>
        </row>
        <row r="53">
          <cell r="C53" t="str">
            <v>Custo unitário de execução</v>
          </cell>
          <cell r="I53">
            <v>41.308727212898987</v>
          </cell>
          <cell r="R53" t="str">
            <v>E9052</v>
          </cell>
          <cell r="S53" t="str">
            <v>Empilhadeira a diesel com capacidade de 10 t - 100 kW</v>
          </cell>
          <cell r="T53">
            <v>432316.47149999999</v>
          </cell>
          <cell r="U53">
            <v>34.585299999999997</v>
          </cell>
          <cell r="V53">
            <v>4.0853999999999999</v>
          </cell>
          <cell r="W53">
            <v>0</v>
          </cell>
          <cell r="X53">
            <v>30.2622</v>
          </cell>
          <cell r="Y53">
            <v>48.03</v>
          </cell>
          <cell r="Z53">
            <v>21.640999999999998</v>
          </cell>
          <cell r="AA53">
            <v>138.60390000000001</v>
          </cell>
          <cell r="AB53">
            <v>60.311700000000002</v>
          </cell>
          <cell r="AF53" t="str">
            <v>M0062</v>
          </cell>
          <cell r="AG53" t="str">
            <v>Apoio de neoprene fretado de 300 x 400 x 85 mm</v>
          </cell>
          <cell r="AH53" t="str">
            <v>un</v>
          </cell>
          <cell r="AI53">
            <v>778.41769999999997</v>
          </cell>
        </row>
        <row r="54">
          <cell r="G54" t="str">
            <v>Custo do FIC</v>
          </cell>
          <cell r="R54" t="str">
            <v>E9053</v>
          </cell>
          <cell r="S54" t="str">
            <v>Perfuratriz hidráulica montada em flutuante - 32 kW</v>
          </cell>
          <cell r="T54">
            <v>200000</v>
          </cell>
          <cell r="U54">
            <v>6.25</v>
          </cell>
          <cell r="V54">
            <v>0.65629999999999999</v>
          </cell>
          <cell r="W54">
            <v>0</v>
          </cell>
          <cell r="X54">
            <v>5.5556000000000001</v>
          </cell>
          <cell r="Y54">
            <v>10.2464</v>
          </cell>
          <cell r="Z54">
            <v>26.446999999999999</v>
          </cell>
          <cell r="AA54">
            <v>49.155299999999997</v>
          </cell>
          <cell r="AB54">
            <v>33.353299999999997</v>
          </cell>
          <cell r="AF54" t="str">
            <v>M0063</v>
          </cell>
          <cell r="AG54" t="str">
            <v>Apoio de neoprene fretado de 350 x 450 x 99 mm</v>
          </cell>
          <cell r="AH54" t="str">
            <v>un</v>
          </cell>
          <cell r="AI54">
            <v>1190.0129999999999</v>
          </cell>
        </row>
        <row r="55">
          <cell r="G55" t="str">
            <v>Custo do FIT</v>
          </cell>
          <cell r="R55" t="str">
            <v>E9054</v>
          </cell>
          <cell r="S55" t="str">
            <v>Equipamento forma-trilho - 13,4 kW</v>
          </cell>
          <cell r="T55">
            <v>779973.67709999997</v>
          </cell>
          <cell r="U55">
            <v>62.3979</v>
          </cell>
          <cell r="V55">
            <v>7.3708</v>
          </cell>
          <cell r="W55">
            <v>0</v>
          </cell>
          <cell r="X55">
            <v>38.998699999999999</v>
          </cell>
          <cell r="Y55">
            <v>14.422700000000001</v>
          </cell>
          <cell r="Z55">
            <v>21.640999999999998</v>
          </cell>
          <cell r="AA55">
            <v>144.83109999999999</v>
          </cell>
          <cell r="AB55">
            <v>91.409700000000001</v>
          </cell>
          <cell r="AF55" t="str">
            <v>M0064</v>
          </cell>
          <cell r="AG55" t="str">
            <v>Apoio de neoprene fretado de 150 x 200 x 35 mm</v>
          </cell>
          <cell r="AH55" t="str">
            <v>un</v>
          </cell>
          <cell r="AI55">
            <v>80.140699999999995</v>
          </cell>
        </row>
        <row r="56">
          <cell r="C56" t="str">
            <v>Quantidade</v>
          </cell>
          <cell r="D56" t="str">
            <v>Unidade</v>
          </cell>
          <cell r="E56" t="str">
            <v>Preço Unitário</v>
          </cell>
          <cell r="G56" t="str">
            <v>Custo Unitário</v>
          </cell>
          <cell r="R56" t="str">
            <v>E9055</v>
          </cell>
          <cell r="S56" t="str">
            <v>Guincho pneumático com capacidade de 2,5 t</v>
          </cell>
          <cell r="T56">
            <v>335464.77929999999</v>
          </cell>
          <cell r="U56">
            <v>30.191800000000001</v>
          </cell>
          <cell r="V56">
            <v>3.1701000000000001</v>
          </cell>
          <cell r="W56">
            <v>0</v>
          </cell>
          <cell r="X56">
            <v>16.773199999999999</v>
          </cell>
          <cell r="Y56">
            <v>0</v>
          </cell>
          <cell r="Z56">
            <v>0</v>
          </cell>
          <cell r="AA56">
            <v>50.135100000000001</v>
          </cell>
          <cell r="AB56">
            <v>33.361899999999999</v>
          </cell>
          <cell r="AF56" t="str">
            <v>M0065</v>
          </cell>
          <cell r="AG56" t="str">
            <v>Container 3/4 de 1 TEU com janela e 1 banheiro</v>
          </cell>
          <cell r="AH56" t="str">
            <v>un</v>
          </cell>
          <cell r="AI56">
            <v>22637.408500000001</v>
          </cell>
        </row>
        <row r="57">
          <cell r="C57">
            <v>3.3E-4</v>
          </cell>
          <cell r="D57" t="str">
            <v>un</v>
          </cell>
          <cell r="F57">
            <v>2421.0482000000002</v>
          </cell>
          <cell r="I57">
            <v>0.79894590600000004</v>
          </cell>
          <cell r="R57" t="str">
            <v>E9056</v>
          </cell>
          <cell r="S57" t="str">
            <v>Plataforma autoelevatória de 12 x 24 m² com capacidade de 150 t</v>
          </cell>
          <cell r="T57">
            <v>531576.33559999999</v>
          </cell>
          <cell r="U57">
            <v>4.1528999999999998</v>
          </cell>
          <cell r="V57">
            <v>1.5262</v>
          </cell>
          <cell r="W57">
            <v>0</v>
          </cell>
          <cell r="X57">
            <v>9.2287999999999997</v>
          </cell>
          <cell r="Y57">
            <v>0</v>
          </cell>
          <cell r="Z57">
            <v>90.565899999999999</v>
          </cell>
          <cell r="AA57">
            <v>105.4738</v>
          </cell>
          <cell r="AB57">
            <v>96.245000000000005</v>
          </cell>
          <cell r="AF57" t="str">
            <v>M0066</v>
          </cell>
          <cell r="AG57" t="str">
            <v>Container de 2 TEU com revestimento térmico (ar condicionado) com janela e 1 lavabo</v>
          </cell>
          <cell r="AH57" t="str">
            <v>un</v>
          </cell>
          <cell r="AI57">
            <v>39832.450700000001</v>
          </cell>
        </row>
        <row r="58">
          <cell r="C58">
            <v>0.13</v>
          </cell>
          <cell r="D58" t="str">
            <v>un</v>
          </cell>
          <cell r="F58">
            <v>29.693100000000001</v>
          </cell>
          <cell r="I58">
            <v>3.8601030000000001</v>
          </cell>
          <cell r="R58" t="str">
            <v>E9057</v>
          </cell>
          <cell r="S58" t="str">
            <v>Batelão sem propulsão com capacidade de 100 t</v>
          </cell>
          <cell r="T58">
            <v>142151.56270000001</v>
          </cell>
          <cell r="U58">
            <v>1.1106</v>
          </cell>
          <cell r="V58">
            <v>0.40810000000000002</v>
          </cell>
          <cell r="W58">
            <v>0</v>
          </cell>
          <cell r="X58">
            <v>1.8509</v>
          </cell>
          <cell r="Y58">
            <v>0</v>
          </cell>
          <cell r="Z58">
            <v>19.091799999999999</v>
          </cell>
          <cell r="AA58">
            <v>22.461400000000001</v>
          </cell>
          <cell r="AB58">
            <v>20.610499999999998</v>
          </cell>
          <cell r="AF58" t="str">
            <v>M0067</v>
          </cell>
          <cell r="AG58" t="str">
            <v>Tubo PE 100 PN10 com flanges - D = 160 mm</v>
          </cell>
          <cell r="AH58" t="str">
            <v>m</v>
          </cell>
          <cell r="AI58">
            <v>107.9096</v>
          </cell>
        </row>
        <row r="59">
          <cell r="C59">
            <v>1</v>
          </cell>
          <cell r="D59" t="str">
            <v>m³</v>
          </cell>
          <cell r="F59">
            <v>0</v>
          </cell>
          <cell r="I59">
            <v>0</v>
          </cell>
          <cell r="R59" t="str">
            <v>E9058</v>
          </cell>
          <cell r="S59" t="str">
            <v>Plataforma flutuante de 12 x 24 x 1,8 m com capacidade de 150 t</v>
          </cell>
          <cell r="T59">
            <v>425151.1397</v>
          </cell>
          <cell r="U59">
            <v>3.3214999999999999</v>
          </cell>
          <cell r="V59">
            <v>1.2205999999999999</v>
          </cell>
          <cell r="W59">
            <v>0</v>
          </cell>
          <cell r="X59">
            <v>5.5358000000000001</v>
          </cell>
          <cell r="Y59">
            <v>0</v>
          </cell>
          <cell r="Z59">
            <v>19.091799999999999</v>
          </cell>
          <cell r="AA59">
            <v>29.169699999999999</v>
          </cell>
          <cell r="AB59">
            <v>23.633900000000001</v>
          </cell>
          <cell r="AF59" t="str">
            <v>M0068</v>
          </cell>
          <cell r="AG59" t="str">
            <v>Caibro de pinho de 7,5 x 10 cm</v>
          </cell>
          <cell r="AH59" t="str">
            <v>m</v>
          </cell>
          <cell r="AI59">
            <v>13.671799999999999</v>
          </cell>
        </row>
        <row r="60">
          <cell r="C60">
            <v>1.2999999999999999E-3</v>
          </cell>
          <cell r="D60" t="str">
            <v>un</v>
          </cell>
          <cell r="F60">
            <v>353.13350000000003</v>
          </cell>
          <cell r="I60">
            <v>0.45907355</v>
          </cell>
          <cell r="R60" t="str">
            <v>E9059</v>
          </cell>
          <cell r="S60" t="str">
            <v>Plataforma autoelevatória de 12 x 24 m² montada na obra com capacidade de 150 t</v>
          </cell>
          <cell r="T60">
            <v>540597.58929999999</v>
          </cell>
          <cell r="U60">
            <v>4.2233999999999998</v>
          </cell>
          <cell r="V60">
            <v>1.5521</v>
          </cell>
          <cell r="W60">
            <v>0</v>
          </cell>
          <cell r="X60">
            <v>9.3854000000000006</v>
          </cell>
          <cell r="Y60">
            <v>0</v>
          </cell>
          <cell r="Z60">
            <v>90.565899999999999</v>
          </cell>
          <cell r="AA60">
            <v>105.7268</v>
          </cell>
          <cell r="AB60">
            <v>96.341399999999993</v>
          </cell>
          <cell r="AF60" t="str">
            <v>M0069</v>
          </cell>
          <cell r="AG60" t="str">
            <v>Arame farpado galvanizado 16 BWG</v>
          </cell>
          <cell r="AH60" t="str">
            <v>m</v>
          </cell>
          <cell r="AI60">
            <v>0.37959999999999999</v>
          </cell>
        </row>
        <row r="61">
          <cell r="C61" t="str">
            <v>Custo unitário total de material</v>
          </cell>
          <cell r="I61">
            <v>5.118122456</v>
          </cell>
          <cell r="R61" t="str">
            <v>E9060</v>
          </cell>
          <cell r="S61" t="str">
            <v>Perfuratriz pneumática rotopercussiva montada em flutuante com pressão de 7 bar - D = 64 a 89 mm</v>
          </cell>
          <cell r="T61">
            <v>17332.4084</v>
          </cell>
          <cell r="U61">
            <v>0.54159999999999997</v>
          </cell>
          <cell r="V61">
            <v>5.6899999999999999E-2</v>
          </cell>
          <cell r="W61">
            <v>0</v>
          </cell>
          <cell r="X61">
            <v>0.48149999999999998</v>
          </cell>
          <cell r="Y61">
            <v>0</v>
          </cell>
          <cell r="Z61">
            <v>52.893999999999998</v>
          </cell>
          <cell r="AA61">
            <v>53.973999999999997</v>
          </cell>
          <cell r="AB61">
            <v>53.4925</v>
          </cell>
          <cell r="AF61" t="str">
            <v>M0070</v>
          </cell>
          <cell r="AG61" t="str">
            <v>Arame liso galvanizado 10 BWG</v>
          </cell>
          <cell r="AH61" t="str">
            <v>kg</v>
          </cell>
          <cell r="AI61">
            <v>5.2107999999999999</v>
          </cell>
        </row>
        <row r="62">
          <cell r="C62" t="str">
            <v>Quantidade</v>
          </cell>
          <cell r="D62" t="str">
            <v>Unidade</v>
          </cell>
          <cell r="E62" t="str">
            <v>Custo Unitário</v>
          </cell>
          <cell r="G62" t="str">
            <v>Custo Unitário</v>
          </cell>
          <cell r="R62" t="str">
            <v>E9061</v>
          </cell>
          <cell r="S62" t="str">
            <v>Lixadeira elétrica manual angular - 2 kW</v>
          </cell>
          <cell r="T62">
            <v>976.74440000000004</v>
          </cell>
          <cell r="U62">
            <v>7.8100000000000003E-2</v>
          </cell>
          <cell r="V62">
            <v>9.1999999999999998E-3</v>
          </cell>
          <cell r="W62">
            <v>0</v>
          </cell>
          <cell r="X62">
            <v>4.8800000000000003E-2</v>
          </cell>
          <cell r="Y62">
            <v>0</v>
          </cell>
          <cell r="Z62">
            <v>0</v>
          </cell>
          <cell r="AA62">
            <v>0.1361</v>
          </cell>
          <cell r="AB62">
            <v>8.7300000000000003E-2</v>
          </cell>
          <cell r="AF62" t="str">
            <v>M0071</v>
          </cell>
          <cell r="AG62" t="str">
            <v>Container de 1/2 de 1 TEU, com 3 janelas, para guarita, Delta Containers ou similar</v>
          </cell>
          <cell r="AH62" t="str">
            <v>un</v>
          </cell>
          <cell r="AI62">
            <v>15090.135</v>
          </cell>
        </row>
        <row r="63">
          <cell r="C63" t="str">
            <v>Custo total de atividades auxiliares</v>
          </cell>
          <cell r="R63" t="str">
            <v>E9062</v>
          </cell>
          <cell r="S63" t="str">
            <v>Soprador de ar quente manual - 1.600 W</v>
          </cell>
          <cell r="T63">
            <v>3154.9605999999999</v>
          </cell>
          <cell r="U63">
            <v>0.42070000000000002</v>
          </cell>
          <cell r="V63">
            <v>3.3099999999999997E-2</v>
          </cell>
          <cell r="W63">
            <v>0</v>
          </cell>
          <cell r="X63">
            <v>0.26290000000000002</v>
          </cell>
          <cell r="Y63">
            <v>0</v>
          </cell>
          <cell r="Z63">
            <v>0</v>
          </cell>
          <cell r="AA63">
            <v>0.7167</v>
          </cell>
          <cell r="AB63">
            <v>0.45379999999999998</v>
          </cell>
          <cell r="AF63" t="str">
            <v>M0072</v>
          </cell>
          <cell r="AG63" t="str">
            <v>Arame liso galvanizado 14 BWG</v>
          </cell>
          <cell r="AH63" t="str">
            <v>kg</v>
          </cell>
          <cell r="AI63">
            <v>7.476</v>
          </cell>
        </row>
        <row r="64">
          <cell r="G64" t="str">
            <v>Subtotal</v>
          </cell>
          <cell r="R64" t="str">
            <v>E9063</v>
          </cell>
          <cell r="S64" t="str">
            <v>Máquina estabilizadora dinâmica da via - 300 kW</v>
          </cell>
          <cell r="T64">
            <v>15289781.189999999</v>
          </cell>
          <cell r="U64">
            <v>611.59119999999996</v>
          </cell>
          <cell r="V64">
            <v>132.4477</v>
          </cell>
          <cell r="W64">
            <v>0</v>
          </cell>
          <cell r="X64">
            <v>611.59119999999996</v>
          </cell>
          <cell r="Y64">
            <v>115.27200000000001</v>
          </cell>
          <cell r="Z64">
            <v>35.442</v>
          </cell>
          <cell r="AA64">
            <v>1506.3441</v>
          </cell>
          <cell r="AB64">
            <v>779.48090000000002</v>
          </cell>
          <cell r="AF64" t="str">
            <v>M0073</v>
          </cell>
          <cell r="AG64" t="str">
            <v>Muda arbórea de porte de 30 a 80 cm</v>
          </cell>
          <cell r="AH64" t="str">
            <v>un</v>
          </cell>
          <cell r="AI64">
            <v>4.1900000000000004</v>
          </cell>
        </row>
        <row r="65">
          <cell r="C65" t="str">
            <v>Código</v>
          </cell>
          <cell r="D65" t="str">
            <v>Quantidade</v>
          </cell>
          <cell r="E65" t="str">
            <v>Unidade</v>
          </cell>
          <cell r="F65" t="str">
            <v>Custo Unitário</v>
          </cell>
          <cell r="H65" t="str">
            <v>Custo Unitário</v>
          </cell>
          <cell r="R65" t="str">
            <v>E9064</v>
          </cell>
          <cell r="S65" t="str">
            <v>Transportador manual gerica com capacidade de 180 l</v>
          </cell>
          <cell r="T65">
            <v>449.27080000000001</v>
          </cell>
          <cell r="U65">
            <v>0.44929999999999998</v>
          </cell>
          <cell r="V65">
            <v>1.4200000000000001E-2</v>
          </cell>
          <cell r="W65">
            <v>0</v>
          </cell>
          <cell r="X65">
            <v>0.22459999999999999</v>
          </cell>
          <cell r="Y65">
            <v>0</v>
          </cell>
          <cell r="Z65">
            <v>0</v>
          </cell>
          <cell r="AA65">
            <v>0.68810000000000004</v>
          </cell>
          <cell r="AB65">
            <v>0.46350000000000002</v>
          </cell>
          <cell r="AF65" t="str">
            <v>M0074</v>
          </cell>
          <cell r="AG65" t="str">
            <v>Muda arbustiva de porte de 50 cm</v>
          </cell>
          <cell r="AH65" t="str">
            <v>un</v>
          </cell>
          <cell r="AI65">
            <v>10.316599999999999</v>
          </cell>
        </row>
        <row r="66">
          <cell r="C66">
            <v>5915407</v>
          </cell>
          <cell r="D66">
            <v>2.4</v>
          </cell>
          <cell r="E66" t="str">
            <v>t</v>
          </cell>
          <cell r="G66">
            <v>1.45</v>
          </cell>
          <cell r="I66">
            <v>3.48</v>
          </cell>
          <cell r="R66" t="str">
            <v>E9065</v>
          </cell>
          <cell r="S66" t="str">
            <v>Carro controle ferroviário - 186 kW</v>
          </cell>
          <cell r="T66">
            <v>14199045.720000001</v>
          </cell>
          <cell r="U66">
            <v>567.96180000000004</v>
          </cell>
          <cell r="V66">
            <v>122.9992</v>
          </cell>
          <cell r="W66">
            <v>0</v>
          </cell>
          <cell r="X66">
            <v>496.96660000000003</v>
          </cell>
          <cell r="Y66">
            <v>71.468599999999995</v>
          </cell>
          <cell r="Z66">
            <v>35.442</v>
          </cell>
          <cell r="AA66">
            <v>1294.8381999999999</v>
          </cell>
          <cell r="AB66">
            <v>726.40300000000002</v>
          </cell>
          <cell r="AF66" t="str">
            <v>M0075</v>
          </cell>
          <cell r="AG66" t="str">
            <v>Arame recozido 18 BWG</v>
          </cell>
          <cell r="AH66" t="str">
            <v>kg</v>
          </cell>
          <cell r="AI66">
            <v>6.9904999999999999</v>
          </cell>
        </row>
        <row r="67">
          <cell r="C67" t="str">
            <v>Custo unitário total de tempo fixo</v>
          </cell>
          <cell r="I67">
            <v>3.48</v>
          </cell>
          <cell r="R67" t="str">
            <v>E9066</v>
          </cell>
          <cell r="S67" t="str">
            <v>Grupo gerador - 13/14 kVA</v>
          </cell>
          <cell r="T67">
            <v>27720.434799999999</v>
          </cell>
          <cell r="U67">
            <v>1.3859999999999999</v>
          </cell>
          <cell r="V67">
            <v>0.2495</v>
          </cell>
          <cell r="W67">
            <v>0</v>
          </cell>
          <cell r="X67">
            <v>0.99</v>
          </cell>
          <cell r="Y67">
            <v>6.6921999999999997</v>
          </cell>
          <cell r="Z67">
            <v>0</v>
          </cell>
          <cell r="AA67">
            <v>9.3177000000000003</v>
          </cell>
          <cell r="AB67">
            <v>1.6355</v>
          </cell>
          <cell r="AF67" t="str">
            <v>M0076</v>
          </cell>
          <cell r="AG67" t="str">
            <v>Disco de corte para policorte - D = 30 cm</v>
          </cell>
          <cell r="AH67" t="str">
            <v>un</v>
          </cell>
          <cell r="AI67">
            <v>12.4772</v>
          </cell>
        </row>
        <row r="68">
          <cell r="C68" t="str">
            <v>Quantidade</v>
          </cell>
          <cell r="D68" t="str">
            <v>Unidade</v>
          </cell>
          <cell r="E68" t="str">
            <v>DMT</v>
          </cell>
          <cell r="I68" t="str">
            <v>Custo Unitário</v>
          </cell>
          <cell r="R68" t="str">
            <v>E9067</v>
          </cell>
          <cell r="S68" t="str">
            <v>Veículo ferroviário para capina química - 115 kW</v>
          </cell>
          <cell r="T68">
            <v>1650607.6</v>
          </cell>
          <cell r="U68">
            <v>66.024299999999997</v>
          </cell>
          <cell r="V68">
            <v>14.298400000000001</v>
          </cell>
          <cell r="W68">
            <v>0</v>
          </cell>
          <cell r="X68">
            <v>41.2652</v>
          </cell>
          <cell r="Y68">
            <v>44.187600000000003</v>
          </cell>
          <cell r="Z68">
            <v>21.640999999999998</v>
          </cell>
          <cell r="AA68">
            <v>187.41650000000001</v>
          </cell>
          <cell r="AB68">
            <v>101.9637</v>
          </cell>
          <cell r="AF68" t="str">
            <v>M0080</v>
          </cell>
          <cell r="AG68" t="str">
            <v>Areia fina</v>
          </cell>
          <cell r="AH68" t="str">
            <v>m³</v>
          </cell>
          <cell r="AI68">
            <v>58.291400000000003</v>
          </cell>
        </row>
        <row r="69">
          <cell r="E69" t="str">
            <v>LN</v>
          </cell>
          <cell r="F69" t="str">
            <v>RP</v>
          </cell>
          <cell r="G69" t="str">
            <v>P</v>
          </cell>
          <cell r="R69" t="str">
            <v>E9068</v>
          </cell>
          <cell r="S69" t="str">
            <v>Perfuratriz hidráulica rotopercussiva para CCPH - 123 kW</v>
          </cell>
          <cell r="T69">
            <v>2171009.861</v>
          </cell>
          <cell r="U69">
            <v>144.73400000000001</v>
          </cell>
          <cell r="V69">
            <v>19.946200000000001</v>
          </cell>
          <cell r="W69">
            <v>0</v>
          </cell>
          <cell r="X69">
            <v>144.73400000000001</v>
          </cell>
          <cell r="Y69">
            <v>59.076900000000002</v>
          </cell>
          <cell r="Z69">
            <v>27.014800000000001</v>
          </cell>
          <cell r="AA69">
            <v>395.5059</v>
          </cell>
          <cell r="AB69">
            <v>191.69499999999999</v>
          </cell>
          <cell r="AF69" t="str">
            <v>M0081</v>
          </cell>
          <cell r="AG69" t="str">
            <v>Areia grossa</v>
          </cell>
          <cell r="AH69" t="str">
            <v>m³</v>
          </cell>
          <cell r="AI69">
            <v>53.145000000000003</v>
          </cell>
        </row>
        <row r="70">
          <cell r="C70">
            <v>2.4</v>
          </cell>
          <cell r="D70" t="str">
            <v>tkm</v>
          </cell>
          <cell r="E70">
            <v>5914359</v>
          </cell>
          <cell r="F70">
            <v>5914374</v>
          </cell>
          <cell r="G70">
            <v>5914389</v>
          </cell>
          <cell r="R70" t="str">
            <v>E9069</v>
          </cell>
          <cell r="S70" t="str">
            <v>Vibrador de imersão para concreto - 4,1 kW</v>
          </cell>
          <cell r="T70">
            <v>3442.0862000000002</v>
          </cell>
          <cell r="U70">
            <v>0.55069999999999997</v>
          </cell>
          <cell r="V70">
            <v>6.5100000000000005E-2</v>
          </cell>
          <cell r="W70">
            <v>0</v>
          </cell>
          <cell r="X70">
            <v>0.34420000000000001</v>
          </cell>
          <cell r="Y70">
            <v>5.5160999999999998</v>
          </cell>
          <cell r="Z70">
            <v>0</v>
          </cell>
          <cell r="AA70">
            <v>6.4760999999999997</v>
          </cell>
          <cell r="AB70">
            <v>0.61580000000000001</v>
          </cell>
          <cell r="AF70" t="str">
            <v>M0082</v>
          </cell>
          <cell r="AG70" t="str">
            <v>Areia média lavada</v>
          </cell>
          <cell r="AH70" t="str">
            <v>m³</v>
          </cell>
          <cell r="AI70">
            <v>75.196700000000007</v>
          </cell>
        </row>
        <row r="71">
          <cell r="C71" t="str">
            <v>Custo unitário total de transporte</v>
          </cell>
          <cell r="R71" t="str">
            <v>E9070</v>
          </cell>
          <cell r="S71" t="str">
            <v>Ponte rolante com acessórios para vão de até 15 m com capacidade de 5 t</v>
          </cell>
          <cell r="T71">
            <v>168123.06450000001</v>
          </cell>
          <cell r="U71">
            <v>6.7248999999999999</v>
          </cell>
          <cell r="V71">
            <v>1.4563999999999999</v>
          </cell>
          <cell r="W71">
            <v>0</v>
          </cell>
          <cell r="X71">
            <v>4.2031000000000001</v>
          </cell>
          <cell r="Y71">
            <v>0</v>
          </cell>
          <cell r="Z71">
            <v>21.640999999999998</v>
          </cell>
          <cell r="AA71">
            <v>34.025399999999998</v>
          </cell>
          <cell r="AB71">
            <v>29.822299999999998</v>
          </cell>
          <cell r="AF71" t="str">
            <v>M0083</v>
          </cell>
          <cell r="AG71" t="str">
            <v>Argamassa tipo Sika Grout 250 ou similar</v>
          </cell>
          <cell r="AH71" t="str">
            <v>kg</v>
          </cell>
          <cell r="AI71">
            <v>1.2474000000000001</v>
          </cell>
        </row>
        <row r="72">
          <cell r="C72">
            <v>4011480</v>
          </cell>
          <cell r="D72" t="str">
            <v>m³</v>
          </cell>
          <cell r="E72" t="str">
            <v>Custo unitário direto total</v>
          </cell>
          <cell r="I72">
            <v>49.906849668898985</v>
          </cell>
          <cell r="R72" t="str">
            <v>E9071</v>
          </cell>
          <cell r="S72" t="str">
            <v>Transportador manual carrinho de mão com capacidade de 80 l</v>
          </cell>
          <cell r="T72">
            <v>192.8519</v>
          </cell>
          <cell r="U72">
            <v>0.19289999999999999</v>
          </cell>
          <cell r="V72">
            <v>6.1000000000000004E-3</v>
          </cell>
          <cell r="W72">
            <v>0</v>
          </cell>
          <cell r="X72">
            <v>9.64E-2</v>
          </cell>
          <cell r="Y72">
            <v>0</v>
          </cell>
          <cell r="Z72">
            <v>0</v>
          </cell>
          <cell r="AA72">
            <v>0.2954</v>
          </cell>
          <cell r="AB72">
            <v>0.19900000000000001</v>
          </cell>
          <cell r="AF72" t="str">
            <v>M0084</v>
          </cell>
          <cell r="AG72" t="str">
            <v>Argamassa tipo Sika Grout autoadensável ou similar</v>
          </cell>
          <cell r="AH72" t="str">
            <v>kg</v>
          </cell>
          <cell r="AI72">
            <v>1.2443</v>
          </cell>
        </row>
        <row r="73">
          <cell r="R73" t="str">
            <v>E9072</v>
          </cell>
          <cell r="S73" t="str">
            <v>Martelo hidráulico vibratório com unidade hidráulica (Power Pack) - 486 kW</v>
          </cell>
          <cell r="T73">
            <v>2115702.0109999999</v>
          </cell>
          <cell r="U73">
            <v>141.04679999999999</v>
          </cell>
          <cell r="V73">
            <v>19.437999999999999</v>
          </cell>
          <cell r="W73">
            <v>0</v>
          </cell>
          <cell r="X73">
            <v>123.416</v>
          </cell>
          <cell r="Y73">
            <v>233.42580000000001</v>
          </cell>
          <cell r="Z73">
            <v>35.442</v>
          </cell>
          <cell r="AA73">
            <v>552.76859999999999</v>
          </cell>
          <cell r="AB73">
            <v>195.92679999999999</v>
          </cell>
          <cell r="AF73" t="str">
            <v>M0085</v>
          </cell>
          <cell r="AG73" t="str">
            <v>Ancoragem ativa em ferro fundido nodular para 4 cordoalhas - D = 12,7 mm</v>
          </cell>
          <cell r="AH73" t="str">
            <v>un</v>
          </cell>
          <cell r="AI73">
            <v>535.68830000000003</v>
          </cell>
        </row>
        <row r="74">
          <cell r="R74" t="str">
            <v>E9073</v>
          </cell>
          <cell r="S74" t="str">
            <v>Bomba de concreto rebocável com capacidade de 30 m³/h - 74 kW</v>
          </cell>
          <cell r="T74">
            <v>253378.06450000001</v>
          </cell>
          <cell r="U74">
            <v>20.270199999999999</v>
          </cell>
          <cell r="V74">
            <v>2.3944000000000001</v>
          </cell>
          <cell r="W74">
            <v>0</v>
          </cell>
          <cell r="X74">
            <v>20.270199999999999</v>
          </cell>
          <cell r="Y74">
            <v>45.020099999999999</v>
          </cell>
          <cell r="Z74">
            <v>21.640999999999998</v>
          </cell>
          <cell r="AA74">
            <v>109.5959</v>
          </cell>
          <cell r="AB74">
            <v>44.305599999999998</v>
          </cell>
          <cell r="AF74" t="str">
            <v>M0086</v>
          </cell>
          <cell r="AG74" t="str">
            <v>Ancoragem ativa em ferro fundido nodular para 6 cordoalhas - D = 12,7 mm</v>
          </cell>
          <cell r="AH74" t="str">
            <v>un</v>
          </cell>
          <cell r="AI74">
            <v>797.14930000000004</v>
          </cell>
        </row>
        <row r="75">
          <cell r="I75" t="str">
            <v>DNIT</v>
          </cell>
          <cell r="R75" t="str">
            <v>E9074</v>
          </cell>
          <cell r="S75" t="str">
            <v>Tanque de estocagem de asfalto com agitadores de 60.000 l</v>
          </cell>
          <cell r="T75">
            <v>231036.6997</v>
          </cell>
          <cell r="U75">
            <v>9.6265000000000001</v>
          </cell>
          <cell r="V75">
            <v>1.7057</v>
          </cell>
          <cell r="W75">
            <v>0</v>
          </cell>
          <cell r="X75">
            <v>6.0166000000000004</v>
          </cell>
          <cell r="Y75">
            <v>0</v>
          </cell>
          <cell r="Z75">
            <v>0</v>
          </cell>
          <cell r="AA75">
            <v>17.348800000000001</v>
          </cell>
          <cell r="AB75">
            <v>11.3322</v>
          </cell>
          <cell r="AF75" t="str">
            <v>M0087</v>
          </cell>
          <cell r="AG75" t="str">
            <v>Ancoragem ativa em ferro fundido nodular para 7 cordoalhas - D = 12,7 mm</v>
          </cell>
          <cell r="AH75" t="str">
            <v>un</v>
          </cell>
          <cell r="AI75">
            <v>858.36490000000003</v>
          </cell>
        </row>
        <row r="76">
          <cell r="R76" t="str">
            <v>E9075</v>
          </cell>
          <cell r="S76" t="str">
            <v>Trado cavadeira de 12"</v>
          </cell>
          <cell r="T76">
            <v>83.216200000000001</v>
          </cell>
          <cell r="U76">
            <v>4.1599999999999998E-2</v>
          </cell>
          <cell r="V76">
            <v>2E-3</v>
          </cell>
          <cell r="W76">
            <v>0</v>
          </cell>
          <cell r="X76">
            <v>2.0799999999999999E-2</v>
          </cell>
          <cell r="Y76">
            <v>0</v>
          </cell>
          <cell r="Z76">
            <v>0</v>
          </cell>
          <cell r="AA76">
            <v>6.4399999999999999E-2</v>
          </cell>
          <cell r="AB76">
            <v>4.36E-2</v>
          </cell>
          <cell r="AF76" t="str">
            <v>M0088</v>
          </cell>
          <cell r="AG76" t="str">
            <v>Ancoragem ativa em ferro fundido nodular para 8 cordoalhas - D = 12,7 mm</v>
          </cell>
          <cell r="AH76" t="str">
            <v>un</v>
          </cell>
          <cell r="AI76">
            <v>931.80359999999996</v>
          </cell>
        </row>
        <row r="77">
          <cell r="D77" t="str">
            <v>Outubro/2019</v>
          </cell>
          <cell r="G77" t="str">
            <v>Produção da equipe</v>
          </cell>
          <cell r="H77">
            <v>1500</v>
          </cell>
          <cell r="I77" t="str">
            <v>m²</v>
          </cell>
          <cell r="R77" t="str">
            <v>E9076</v>
          </cell>
          <cell r="S77" t="str">
            <v>Equipamento de pintura com cabine de 7,00 kW e estufa de 80.000 kCal para pintura eletrostática</v>
          </cell>
          <cell r="T77">
            <v>128811.4855</v>
          </cell>
          <cell r="U77">
            <v>8.2806999999999995</v>
          </cell>
          <cell r="V77">
            <v>1.1593</v>
          </cell>
          <cell r="W77">
            <v>0</v>
          </cell>
          <cell r="X77">
            <v>4.6003999999999996</v>
          </cell>
          <cell r="Y77">
            <v>0</v>
          </cell>
          <cell r="Z77">
            <v>21.640999999999998</v>
          </cell>
          <cell r="AA77">
            <v>35.681399999999996</v>
          </cell>
          <cell r="AB77">
            <v>31.081</v>
          </cell>
          <cell r="AF77" t="str">
            <v>M0089</v>
          </cell>
          <cell r="AG77" t="str">
            <v>Ancoragem ativa em ferro fundido nodular para 9 cordoalhas - D = 12,7 mm</v>
          </cell>
          <cell r="AH77" t="str">
            <v>un</v>
          </cell>
          <cell r="AI77">
            <v>996.07749999999999</v>
          </cell>
        </row>
        <row r="78">
          <cell r="H78" t="str">
            <v>Valores em reais (R$)</v>
          </cell>
          <cell r="R78" t="str">
            <v>E9077</v>
          </cell>
          <cell r="S78" t="str">
            <v>Perfuratriz Wirth com acessórios e unidade hidráulica (Power Pack) - 273 kW</v>
          </cell>
          <cell r="T78">
            <v>4655084.9220000003</v>
          </cell>
          <cell r="U78">
            <v>310.339</v>
          </cell>
          <cell r="V78">
            <v>42.768599999999999</v>
          </cell>
          <cell r="W78">
            <v>0</v>
          </cell>
          <cell r="X78">
            <v>310.339</v>
          </cell>
          <cell r="Y78">
            <v>87.414599999999993</v>
          </cell>
          <cell r="Z78">
            <v>27.014800000000001</v>
          </cell>
          <cell r="AA78">
            <v>777.87599999999998</v>
          </cell>
          <cell r="AB78">
            <v>380.12240000000003</v>
          </cell>
          <cell r="AF78" t="str">
            <v>M0091</v>
          </cell>
          <cell r="AG78" t="str">
            <v>Ancoragem ativa em ferro fundido nodular para 10 cordoalhas - D = 12,7 mm</v>
          </cell>
          <cell r="AH78" t="str">
            <v>un</v>
          </cell>
          <cell r="AI78">
            <v>1196.9105</v>
          </cell>
        </row>
        <row r="79">
          <cell r="C79" t="str">
            <v>Quantidade</v>
          </cell>
          <cell r="D79" t="str">
            <v>Utilização</v>
          </cell>
          <cell r="F79" t="str">
            <v>Custo Horário</v>
          </cell>
          <cell r="I79" t="str">
            <v>Custo</v>
          </cell>
          <cell r="R79" t="str">
            <v>E9078</v>
          </cell>
          <cell r="S79" t="str">
            <v>Treliça lançadeira com capacidade de carga de 120 a 150 t e vão máximo de 45 m - 110 kW</v>
          </cell>
          <cell r="T79">
            <v>2214514.58</v>
          </cell>
          <cell r="U79">
            <v>59.053699999999999</v>
          </cell>
          <cell r="V79">
            <v>18.601900000000001</v>
          </cell>
          <cell r="W79">
            <v>0</v>
          </cell>
          <cell r="X79">
            <v>36.9086</v>
          </cell>
          <cell r="Y79">
            <v>0</v>
          </cell>
          <cell r="Z79">
            <v>35.442</v>
          </cell>
          <cell r="AA79">
            <v>150.00620000000001</v>
          </cell>
          <cell r="AB79">
            <v>113.0976</v>
          </cell>
          <cell r="AF79" t="str">
            <v>M0092</v>
          </cell>
          <cell r="AG79" t="str">
            <v>Ancoragem ativa em ferro fundido nodular para 12 cordoalhas - D = 12,7 mm</v>
          </cell>
          <cell r="AH79" t="str">
            <v>un</v>
          </cell>
          <cell r="AI79">
            <v>1411.1401000000001</v>
          </cell>
        </row>
        <row r="80">
          <cell r="D80" t="str">
            <v>Operativa</v>
          </cell>
          <cell r="E80" t="str">
            <v>Improdutiva</v>
          </cell>
          <cell r="F80" t="str">
            <v>Produtivo</v>
          </cell>
          <cell r="G80" t="str">
            <v>Improdutivo</v>
          </cell>
          <cell r="I80" t="str">
            <v>Horário Total</v>
          </cell>
          <cell r="R80" t="str">
            <v>E9079</v>
          </cell>
          <cell r="S80" t="str">
            <v>Bomba submersível Flygt 12 - 23 kW</v>
          </cell>
          <cell r="T80">
            <v>52598.858</v>
          </cell>
          <cell r="U80">
            <v>4.2079000000000004</v>
          </cell>
          <cell r="V80">
            <v>0.49709999999999999</v>
          </cell>
          <cell r="W80">
            <v>0</v>
          </cell>
          <cell r="X80">
            <v>3.6819000000000002</v>
          </cell>
          <cell r="Y80">
            <v>0</v>
          </cell>
          <cell r="Z80">
            <v>0</v>
          </cell>
          <cell r="AA80">
            <v>8.3869000000000007</v>
          </cell>
          <cell r="AB80">
            <v>4.7050000000000001</v>
          </cell>
          <cell r="AF80" t="str">
            <v>M0093</v>
          </cell>
          <cell r="AG80" t="str">
            <v>Ancoragem ativa em ferro fundido nodular para 15 cordoalhas - D = 12,7 mm</v>
          </cell>
          <cell r="AH80" t="str">
            <v>un</v>
          </cell>
          <cell r="AI80">
            <v>2606.5913999999998</v>
          </cell>
        </row>
        <row r="81">
          <cell r="C81">
            <v>1</v>
          </cell>
          <cell r="D81">
            <v>1</v>
          </cell>
          <cell r="E81">
            <v>0</v>
          </cell>
          <cell r="F81">
            <v>159.1455</v>
          </cell>
          <cell r="G81">
            <v>48.138199999999998</v>
          </cell>
          <cell r="I81">
            <v>159.1455</v>
          </cell>
          <cell r="R81" t="str">
            <v>E9080</v>
          </cell>
          <cell r="S81" t="str">
            <v>Carrelone com capacidade máxima de 70 t</v>
          </cell>
          <cell r="T81">
            <v>1883410.12</v>
          </cell>
          <cell r="U81">
            <v>84.753500000000003</v>
          </cell>
          <cell r="V81">
            <v>16.315000000000001</v>
          </cell>
          <cell r="W81">
            <v>0</v>
          </cell>
          <cell r="X81">
            <v>47.085299999999997</v>
          </cell>
          <cell r="Y81">
            <v>0</v>
          </cell>
          <cell r="Z81">
            <v>21.640999999999998</v>
          </cell>
          <cell r="AA81">
            <v>169.79480000000001</v>
          </cell>
          <cell r="AB81">
            <v>122.70950000000001</v>
          </cell>
          <cell r="AF81" t="str">
            <v>M0094</v>
          </cell>
          <cell r="AG81" t="str">
            <v>Ancoragem ativa em ferro fundido nodular para 19 cordoalhas - D = 12,7 mm</v>
          </cell>
          <cell r="AH81" t="str">
            <v>un</v>
          </cell>
          <cell r="AI81">
            <v>2976.5816</v>
          </cell>
        </row>
        <row r="82">
          <cell r="C82">
            <v>2</v>
          </cell>
          <cell r="D82">
            <v>1</v>
          </cell>
          <cell r="E82">
            <v>0</v>
          </cell>
          <cell r="F82">
            <v>14.822900000000001</v>
          </cell>
          <cell r="G82">
            <v>9.6822999999999997</v>
          </cell>
          <cell r="I82">
            <v>29.645800000000001</v>
          </cell>
          <cell r="R82" t="str">
            <v>E9081</v>
          </cell>
          <cell r="S82" t="str">
            <v>Fischietti simples com capacidade máxima de 140 t/par</v>
          </cell>
          <cell r="T82">
            <v>127113.8023</v>
          </cell>
          <cell r="U82">
            <v>5.7201000000000004</v>
          </cell>
          <cell r="V82">
            <v>1.1011</v>
          </cell>
          <cell r="W82">
            <v>0</v>
          </cell>
          <cell r="X82">
            <v>3.1778</v>
          </cell>
          <cell r="Y82">
            <v>0</v>
          </cell>
          <cell r="Z82">
            <v>21.640999999999998</v>
          </cell>
          <cell r="AA82">
            <v>31.64</v>
          </cell>
          <cell r="AB82">
            <v>28.462199999999999</v>
          </cell>
          <cell r="AF82" t="str">
            <v>M0098</v>
          </cell>
          <cell r="AG82" t="str">
            <v>Bambu com diâmetro médio de 10 cm</v>
          </cell>
          <cell r="AH82" t="str">
            <v>m</v>
          </cell>
          <cell r="AI82">
            <v>14.711</v>
          </cell>
        </row>
        <row r="83">
          <cell r="C83">
            <v>1</v>
          </cell>
          <cell r="D83">
            <v>0.47</v>
          </cell>
          <cell r="E83">
            <v>0.53</v>
          </cell>
          <cell r="F83">
            <v>121.24679999999999</v>
          </cell>
          <cell r="G83">
            <v>33.347200000000001</v>
          </cell>
          <cell r="I83">
            <v>74.660011999999995</v>
          </cell>
          <cell r="R83" t="str">
            <v>E9083</v>
          </cell>
          <cell r="S83" t="str">
            <v>Vagão fechado tipo FSS</v>
          </cell>
          <cell r="T83">
            <v>280000</v>
          </cell>
          <cell r="U83">
            <v>7</v>
          </cell>
          <cell r="V83">
            <v>2.3153000000000001</v>
          </cell>
          <cell r="W83">
            <v>0</v>
          </cell>
          <cell r="X83">
            <v>3.5</v>
          </cell>
          <cell r="Y83">
            <v>0</v>
          </cell>
          <cell r="Z83">
            <v>0</v>
          </cell>
          <cell r="AA83">
            <v>12.815300000000001</v>
          </cell>
          <cell r="AB83">
            <v>9.3153000000000006</v>
          </cell>
          <cell r="AF83" t="str">
            <v>M0099</v>
          </cell>
          <cell r="AG83" t="str">
            <v>Equipamentos para a fábrica de dormentes de concreto protendido</v>
          </cell>
          <cell r="AH83" t="str">
            <v>ISF</v>
          </cell>
          <cell r="AI83">
            <v>314.65300000000002</v>
          </cell>
        </row>
        <row r="84">
          <cell r="C84">
            <v>1</v>
          </cell>
          <cell r="D84">
            <v>0.47</v>
          </cell>
          <cell r="E84">
            <v>0.53</v>
          </cell>
          <cell r="F84">
            <v>5.6055999999999999</v>
          </cell>
          <cell r="G84">
            <v>3.4962</v>
          </cell>
          <cell r="I84">
            <v>4.4876179999999994</v>
          </cell>
          <cell r="R84" t="str">
            <v>E9084</v>
          </cell>
          <cell r="S84" t="str">
            <v>Vagão tanque tipo TCR</v>
          </cell>
          <cell r="T84">
            <v>285000</v>
          </cell>
          <cell r="U84">
            <v>7.125</v>
          </cell>
          <cell r="V84">
            <v>2.3565999999999998</v>
          </cell>
          <cell r="W84">
            <v>0</v>
          </cell>
          <cell r="X84">
            <v>3.5625</v>
          </cell>
          <cell r="Y84">
            <v>0</v>
          </cell>
          <cell r="Z84">
            <v>0</v>
          </cell>
          <cell r="AA84">
            <v>13.0441</v>
          </cell>
          <cell r="AB84">
            <v>9.4816000000000003</v>
          </cell>
          <cell r="AF84" t="str">
            <v>M0100</v>
          </cell>
          <cell r="AG84" t="str">
            <v>Ancoragem ativa em ferro fundido nodular para 22 cordoalhas - D = 12,7 mm</v>
          </cell>
          <cell r="AH84" t="str">
            <v>un</v>
          </cell>
          <cell r="AI84">
            <v>3681.2768999999998</v>
          </cell>
        </row>
        <row r="85">
          <cell r="G85" t="str">
            <v>Custo horário total de equipamentos</v>
          </cell>
          <cell r="I85">
            <v>267.93893000000003</v>
          </cell>
          <cell r="R85" t="str">
            <v>E9085</v>
          </cell>
          <cell r="S85" t="str">
            <v>Vagão gôndola tipo GTB</v>
          </cell>
          <cell r="T85">
            <v>265000</v>
          </cell>
          <cell r="U85">
            <v>6.625</v>
          </cell>
          <cell r="V85">
            <v>2.1911999999999998</v>
          </cell>
          <cell r="W85">
            <v>0</v>
          </cell>
          <cell r="X85">
            <v>3.3125</v>
          </cell>
          <cell r="Y85">
            <v>0</v>
          </cell>
          <cell r="Z85">
            <v>0</v>
          </cell>
          <cell r="AA85">
            <v>12.1287</v>
          </cell>
          <cell r="AB85">
            <v>8.8162000000000003</v>
          </cell>
          <cell r="AF85" t="str">
            <v>M0101</v>
          </cell>
          <cell r="AG85" t="str">
            <v>Ancoragem ativa em ferro fundido nodular para 27 cordoalhas - D = 12,7 mm</v>
          </cell>
          <cell r="AH85" t="str">
            <v>un</v>
          </cell>
          <cell r="AI85">
            <v>4836.7566999999999</v>
          </cell>
        </row>
        <row r="86">
          <cell r="C86" t="str">
            <v>Quantidade</v>
          </cell>
          <cell r="D86" t="str">
            <v>Unidade</v>
          </cell>
          <cell r="E86" t="str">
            <v>Custo Horário</v>
          </cell>
          <cell r="G86" t="str">
            <v>Custo Horário Total</v>
          </cell>
          <cell r="R86" t="str">
            <v>E9086</v>
          </cell>
          <cell r="S86" t="str">
            <v>Bomba de concreto rebocável com capacidade de 41 m³/h - 74 kW</v>
          </cell>
          <cell r="T86">
            <v>293498.06449999998</v>
          </cell>
          <cell r="U86">
            <v>23.479800000000001</v>
          </cell>
          <cell r="V86">
            <v>2.7736000000000001</v>
          </cell>
          <cell r="W86">
            <v>0</v>
          </cell>
          <cell r="X86">
            <v>23.479800000000001</v>
          </cell>
          <cell r="Y86">
            <v>45.020099999999999</v>
          </cell>
          <cell r="Z86">
            <v>21.640999999999998</v>
          </cell>
          <cell r="AA86">
            <v>116.3943</v>
          </cell>
          <cell r="AB86">
            <v>47.894399999999997</v>
          </cell>
          <cell r="AF86" t="str">
            <v>M0102</v>
          </cell>
          <cell r="AG86" t="str">
            <v>Ancoragem ativa em ferro fundido nodular para 31 cordoalhas - D = 12,7 mm</v>
          </cell>
          <cell r="AH86" t="str">
            <v>un</v>
          </cell>
          <cell r="AI86">
            <v>6367.0673999999999</v>
          </cell>
        </row>
        <row r="87">
          <cell r="C87">
            <v>2</v>
          </cell>
          <cell r="D87" t="str">
            <v>h</v>
          </cell>
          <cell r="F87">
            <v>19.378599999999999</v>
          </cell>
          <cell r="I87">
            <v>38.757199999999997</v>
          </cell>
          <cell r="R87" t="str">
            <v>E9087</v>
          </cell>
          <cell r="S87" t="str">
            <v>Vagão hopper aberto com descarga inferior manual com capacidade de 60 t, bitola métrica</v>
          </cell>
          <cell r="T87">
            <v>250000</v>
          </cell>
          <cell r="U87">
            <v>6.25</v>
          </cell>
          <cell r="V87">
            <v>2.0672000000000001</v>
          </cell>
          <cell r="W87">
            <v>0</v>
          </cell>
          <cell r="X87">
            <v>3.125</v>
          </cell>
          <cell r="Y87">
            <v>0</v>
          </cell>
          <cell r="Z87">
            <v>0</v>
          </cell>
          <cell r="AA87">
            <v>11.4422</v>
          </cell>
          <cell r="AB87">
            <v>8.3171999999999997</v>
          </cell>
          <cell r="AF87" t="str">
            <v>M0103</v>
          </cell>
          <cell r="AG87" t="str">
            <v>Aditivo antirricochete para concreto projetado</v>
          </cell>
          <cell r="AH87" t="str">
            <v>kg</v>
          </cell>
          <cell r="AI87">
            <v>5.4911000000000003</v>
          </cell>
        </row>
        <row r="88">
          <cell r="C88" t="str">
            <v>Custo horário total de mão de obra</v>
          </cell>
          <cell r="H88">
            <v>38.757199999999997</v>
          </cell>
          <cell r="R88" t="str">
            <v>E9088</v>
          </cell>
          <cell r="S88" t="str">
            <v>Vagão hopper aberto com descarga inferior manual com capacidade de 75 t, bitola larga</v>
          </cell>
          <cell r="T88">
            <v>330000</v>
          </cell>
          <cell r="U88">
            <v>8.25</v>
          </cell>
          <cell r="V88">
            <v>2.7286999999999999</v>
          </cell>
          <cell r="W88">
            <v>0</v>
          </cell>
          <cell r="X88">
            <v>4.125</v>
          </cell>
          <cell r="Y88">
            <v>0</v>
          </cell>
          <cell r="Z88">
            <v>0</v>
          </cell>
          <cell r="AA88">
            <v>15.1037</v>
          </cell>
          <cell r="AB88">
            <v>10.9787</v>
          </cell>
          <cell r="AF88" t="str">
            <v>M0104</v>
          </cell>
          <cell r="AG88" t="str">
            <v>Asfalto diluído CM 30</v>
          </cell>
          <cell r="AH88" t="str">
            <v>t</v>
          </cell>
          <cell r="AI88">
            <v>0</v>
          </cell>
        </row>
        <row r="89">
          <cell r="C89" t="str">
            <v>Custo horário total de execução</v>
          </cell>
          <cell r="I89">
            <v>306.69613000000004</v>
          </cell>
          <cell r="R89" t="str">
            <v>E9089</v>
          </cell>
          <cell r="S89" t="str">
            <v>Roçadeira costal - 1,4 kW</v>
          </cell>
          <cell r="T89">
            <v>1840.6492000000001</v>
          </cell>
          <cell r="U89">
            <v>0.27610000000000001</v>
          </cell>
          <cell r="V89">
            <v>1.9300000000000001E-2</v>
          </cell>
          <cell r="W89">
            <v>0</v>
          </cell>
          <cell r="X89">
            <v>0.2147</v>
          </cell>
          <cell r="Y89">
            <v>5.9198000000000004</v>
          </cell>
          <cell r="Z89">
            <v>0</v>
          </cell>
          <cell r="AA89">
            <v>6.4298999999999999</v>
          </cell>
          <cell r="AB89">
            <v>0.2954</v>
          </cell>
          <cell r="AF89" t="str">
            <v>M0105</v>
          </cell>
          <cell r="AG89" t="str">
            <v>Ancoragem ativa em ferro fundido nodular para 4 cordoalhas - D = 15,2 mm</v>
          </cell>
          <cell r="AH89" t="str">
            <v>un</v>
          </cell>
          <cell r="AI89">
            <v>659.17169999999999</v>
          </cell>
        </row>
        <row r="90">
          <cell r="C90" t="str">
            <v>Custo unitário de execução</v>
          </cell>
          <cell r="I90">
            <v>0.20446408666666668</v>
          </cell>
          <cell r="R90" t="str">
            <v>E9090</v>
          </cell>
          <cell r="S90" t="str">
            <v>Equipamento para descarga de TLS - 140 kW</v>
          </cell>
          <cell r="T90">
            <v>1729539.9010000001</v>
          </cell>
          <cell r="U90">
            <v>27.672599999999999</v>
          </cell>
          <cell r="V90">
            <v>14.164899999999999</v>
          </cell>
          <cell r="W90">
            <v>0</v>
          </cell>
          <cell r="X90">
            <v>34.590800000000002</v>
          </cell>
          <cell r="Y90">
            <v>53.793599999999998</v>
          </cell>
          <cell r="Z90">
            <v>35.442</v>
          </cell>
          <cell r="AA90">
            <v>165.66390000000001</v>
          </cell>
          <cell r="AB90">
            <v>77.279499999999999</v>
          </cell>
          <cell r="AF90" t="str">
            <v>M0106</v>
          </cell>
          <cell r="AG90" t="str">
            <v>Ancoragem ativa em ferro fundido nodular para 6 cordoalhas - D = 15,2 mm</v>
          </cell>
          <cell r="AH90" t="str">
            <v>un</v>
          </cell>
          <cell r="AI90">
            <v>997.45799999999997</v>
          </cell>
        </row>
        <row r="91">
          <cell r="G91" t="str">
            <v>Custo do FIC</v>
          </cell>
          <cell r="H91">
            <v>5.2300000000000003E-3</v>
          </cell>
          <cell r="I91">
            <v>1.0693471732666669E-3</v>
          </cell>
          <cell r="R91" t="str">
            <v>E9091</v>
          </cell>
          <cell r="S91" t="str">
            <v>Empurrador fluvial - 372 kW</v>
          </cell>
          <cell r="T91">
            <v>676755.5</v>
          </cell>
          <cell r="U91">
            <v>8.8118999999999996</v>
          </cell>
          <cell r="V91">
            <v>2.0047000000000001</v>
          </cell>
          <cell r="W91">
            <v>0</v>
          </cell>
          <cell r="X91">
            <v>19.582000000000001</v>
          </cell>
          <cell r="Y91">
            <v>226.31739999999999</v>
          </cell>
          <cell r="Z91">
            <v>112.74979999999999</v>
          </cell>
          <cell r="AA91">
            <v>369.4658</v>
          </cell>
          <cell r="AB91">
            <v>123.5664</v>
          </cell>
          <cell r="AF91" t="str">
            <v>M0107</v>
          </cell>
          <cell r="AG91" t="str">
            <v>Geocomposto para drenagem</v>
          </cell>
          <cell r="AH91" t="str">
            <v>m²</v>
          </cell>
          <cell r="AI91">
            <v>19.654199999999999</v>
          </cell>
        </row>
        <row r="92">
          <cell r="G92" t="str">
            <v>Custo do FIT</v>
          </cell>
          <cell r="R92" t="str">
            <v>E9093</v>
          </cell>
          <cell r="S92" t="str">
            <v>Veículo leve - 53 kW (sem motorista)</v>
          </cell>
          <cell r="T92">
            <v>45481.959699999999</v>
          </cell>
          <cell r="U92">
            <v>2.7288999999999999</v>
          </cell>
          <cell r="V92">
            <v>0.42980000000000002</v>
          </cell>
          <cell r="W92">
            <v>0.34110000000000001</v>
          </cell>
          <cell r="X92">
            <v>2.7288999999999999</v>
          </cell>
          <cell r="Y92">
            <v>18.335899999999999</v>
          </cell>
          <cell r="Z92">
            <v>0</v>
          </cell>
          <cell r="AA92">
            <v>24.564599999999999</v>
          </cell>
          <cell r="AB92">
            <v>3.4998</v>
          </cell>
          <cell r="AF92" t="str">
            <v>M0108</v>
          </cell>
          <cell r="AG92" t="str">
            <v>Ancoragem ativa em ferro fundido nodular para 7 cordoalhas - D = 15,2 mm</v>
          </cell>
          <cell r="AH92" t="str">
            <v>un</v>
          </cell>
          <cell r="AI92">
            <v>1089.2764999999999</v>
          </cell>
        </row>
        <row r="93">
          <cell r="C93" t="str">
            <v>Quantidade</v>
          </cell>
          <cell r="D93" t="str">
            <v>Unidade</v>
          </cell>
          <cell r="E93" t="str">
            <v>Preço Unitário</v>
          </cell>
          <cell r="G93" t="str">
            <v>Custo Unitário</v>
          </cell>
          <cell r="R93" t="str">
            <v>E9094</v>
          </cell>
          <cell r="S93" t="str">
            <v>Guindaste móvel sobre pneus com 6 eixos com capacidade de 10.500 kN.m - 450 kW</v>
          </cell>
          <cell r="T93">
            <v>10439976.140000001</v>
          </cell>
          <cell r="U93">
            <v>521.99879999999996</v>
          </cell>
          <cell r="V93">
            <v>93.959800000000001</v>
          </cell>
          <cell r="W93">
            <v>74.571299999999994</v>
          </cell>
          <cell r="X93">
            <v>671.1413</v>
          </cell>
          <cell r="Y93">
            <v>72.045000000000002</v>
          </cell>
          <cell r="Z93">
            <v>29.414200000000001</v>
          </cell>
          <cell r="AA93">
            <v>1463.1304</v>
          </cell>
          <cell r="AB93">
            <v>719.94410000000005</v>
          </cell>
          <cell r="AF93" t="str">
            <v>M0109</v>
          </cell>
          <cell r="AG93" t="str">
            <v>Geodreno vertical - L = 10 cm e E = 5 mm</v>
          </cell>
          <cell r="AH93" t="str">
            <v>m</v>
          </cell>
          <cell r="AI93">
            <v>3.4506000000000001</v>
          </cell>
        </row>
        <row r="94">
          <cell r="C94">
            <v>4.4999999999999999E-4</v>
          </cell>
          <cell r="D94" t="str">
            <v>t</v>
          </cell>
          <cell r="F94">
            <v>2009.19667</v>
          </cell>
          <cell r="I94">
            <v>0.90413850149999997</v>
          </cell>
          <cell r="R94" t="str">
            <v>E9095</v>
          </cell>
          <cell r="S94" t="str">
            <v>Guindaste móvel sobre pneus com 8 eixos com capacidade de 15.000 kN.m - 500 kW</v>
          </cell>
          <cell r="T94">
            <v>15500894.85</v>
          </cell>
          <cell r="U94">
            <v>775.04470000000003</v>
          </cell>
          <cell r="V94">
            <v>139.50810000000001</v>
          </cell>
          <cell r="W94">
            <v>110.72069999999999</v>
          </cell>
          <cell r="X94">
            <v>996.48609999999996</v>
          </cell>
          <cell r="Y94">
            <v>80.05</v>
          </cell>
          <cell r="Z94">
            <v>29.414200000000001</v>
          </cell>
          <cell r="AA94">
            <v>2131.2238000000002</v>
          </cell>
          <cell r="AB94">
            <v>1054.6876999999999</v>
          </cell>
          <cell r="AF94" t="str">
            <v>M0110</v>
          </cell>
          <cell r="AG94" t="str">
            <v>Ancoragem ativa em ferro fundido nodular para 10 cordoalhas - D = 15,2 mm</v>
          </cell>
          <cell r="AH94" t="str">
            <v>un</v>
          </cell>
          <cell r="AI94">
            <v>1554.2656999999999</v>
          </cell>
        </row>
        <row r="95">
          <cell r="C95" t="str">
            <v>Custo unitário total de material</v>
          </cell>
          <cell r="I95">
            <v>0.90413850149999997</v>
          </cell>
          <cell r="R95" t="str">
            <v>E9096</v>
          </cell>
          <cell r="S95" t="str">
            <v>Minicarregadeira de pneus - 42 kW</v>
          </cell>
          <cell r="T95">
            <v>171057.84150000001</v>
          </cell>
          <cell r="U95">
            <v>11.974</v>
          </cell>
          <cell r="V95">
            <v>1.6165</v>
          </cell>
          <cell r="W95">
            <v>0</v>
          </cell>
          <cell r="X95">
            <v>11.974</v>
          </cell>
          <cell r="Y95">
            <v>33.621000000000002</v>
          </cell>
          <cell r="Z95">
            <v>27.014800000000001</v>
          </cell>
          <cell r="AA95">
            <v>86.200299999999999</v>
          </cell>
          <cell r="AB95">
            <v>40.6053</v>
          </cell>
          <cell r="AF95" t="str">
            <v>M0111</v>
          </cell>
          <cell r="AG95" t="str">
            <v>Ancoragem ativa em ferro fundido nodular para 9 cordoalhas - D = 15,2 mm</v>
          </cell>
          <cell r="AH95" t="str">
            <v>un</v>
          </cell>
          <cell r="AI95">
            <v>1458.8659</v>
          </cell>
        </row>
        <row r="96">
          <cell r="C96" t="str">
            <v>Quantidade</v>
          </cell>
          <cell r="D96" t="str">
            <v>Unidade</v>
          </cell>
          <cell r="E96" t="str">
            <v>Custo Unitário</v>
          </cell>
          <cell r="G96" t="str">
            <v>Custo Unitário</v>
          </cell>
          <cell r="R96" t="str">
            <v>E9101</v>
          </cell>
          <cell r="S96" t="str">
            <v>Removedora de faixas de sinalização viária - 9,69 kW</v>
          </cell>
          <cell r="T96">
            <v>34122.817999999999</v>
          </cell>
          <cell r="U96">
            <v>2.7298</v>
          </cell>
          <cell r="V96">
            <v>0.32250000000000001</v>
          </cell>
          <cell r="W96">
            <v>0</v>
          </cell>
          <cell r="X96">
            <v>2.3885999999999998</v>
          </cell>
          <cell r="Y96">
            <v>13.036899999999999</v>
          </cell>
          <cell r="Z96">
            <v>0</v>
          </cell>
          <cell r="AA96">
            <v>18.477799999999998</v>
          </cell>
          <cell r="AB96">
            <v>3.0522999999999998</v>
          </cell>
          <cell r="AF96" t="str">
            <v>M0112</v>
          </cell>
          <cell r="AG96" t="str">
            <v>Disco diamantado para corte de pavimento - D = 1 m e E = 1,6 mm</v>
          </cell>
          <cell r="AH96" t="str">
            <v>un</v>
          </cell>
          <cell r="AI96">
            <v>3645.8948</v>
          </cell>
        </row>
        <row r="97">
          <cell r="C97" t="str">
            <v>Custo total de atividades auxiliares</v>
          </cell>
          <cell r="R97" t="str">
            <v>E9102</v>
          </cell>
          <cell r="S97" t="str">
            <v>Extrusora para sarjeta de concreto - 10,44 kW</v>
          </cell>
          <cell r="T97">
            <v>39016.699999999997</v>
          </cell>
          <cell r="U97">
            <v>3.1213000000000002</v>
          </cell>
          <cell r="V97">
            <v>0.36870000000000003</v>
          </cell>
          <cell r="W97">
            <v>0</v>
          </cell>
          <cell r="X97">
            <v>2.7311999999999999</v>
          </cell>
          <cell r="Y97">
            <v>5.0143000000000004</v>
          </cell>
          <cell r="Z97">
            <v>21.640999999999998</v>
          </cell>
          <cell r="AA97">
            <v>32.8765</v>
          </cell>
          <cell r="AB97">
            <v>25.131</v>
          </cell>
          <cell r="AF97" t="str">
            <v>M0113</v>
          </cell>
          <cell r="AG97" t="str">
            <v>Ancoragem ativa em ferro fundido nodular para 12 cordoalhas - D = 15,2 mm</v>
          </cell>
          <cell r="AH97" t="str">
            <v>un</v>
          </cell>
          <cell r="AI97">
            <v>2070.9922000000001</v>
          </cell>
        </row>
        <row r="98">
          <cell r="G98" t="str">
            <v>Subtotal</v>
          </cell>
          <cell r="R98" t="str">
            <v>E9103</v>
          </cell>
          <cell r="S98" t="str">
            <v>Extrusora para meio-fio de concreto - 10,44 kW</v>
          </cell>
          <cell r="T98">
            <v>34603.5</v>
          </cell>
          <cell r="U98">
            <v>2.7683</v>
          </cell>
          <cell r="V98">
            <v>0.32700000000000001</v>
          </cell>
          <cell r="W98">
            <v>0</v>
          </cell>
          <cell r="X98">
            <v>2.4222000000000001</v>
          </cell>
          <cell r="Y98">
            <v>5.0143000000000004</v>
          </cell>
          <cell r="Z98">
            <v>21.640999999999998</v>
          </cell>
          <cell r="AA98">
            <v>32.172800000000002</v>
          </cell>
          <cell r="AB98">
            <v>24.7363</v>
          </cell>
          <cell r="AF98" t="str">
            <v>M0114</v>
          </cell>
          <cell r="AG98" t="str">
            <v>Disco diamantado para corte de pavimento - D = 1,5 m e E = 1,6 mm</v>
          </cell>
          <cell r="AH98" t="str">
            <v>un</v>
          </cell>
          <cell r="AI98">
            <v>17058.243200000001</v>
          </cell>
        </row>
        <row r="99">
          <cell r="C99" t="str">
            <v>Código</v>
          </cell>
          <cell r="D99" t="str">
            <v>Quantidade</v>
          </cell>
          <cell r="E99" t="str">
            <v>Unidade</v>
          </cell>
          <cell r="F99" t="str">
            <v>Custo Unitário</v>
          </cell>
          <cell r="H99" t="str">
            <v>Custo Unitário</v>
          </cell>
          <cell r="R99" t="str">
            <v>E9105</v>
          </cell>
          <cell r="S99" t="str">
            <v>Embarcação empurradora multipropósito - 2 x 250 HP</v>
          </cell>
          <cell r="T99">
            <v>3890696.6340000001</v>
          </cell>
          <cell r="U99">
            <v>50.6601</v>
          </cell>
          <cell r="V99">
            <v>11.5252</v>
          </cell>
          <cell r="W99">
            <v>0</v>
          </cell>
          <cell r="X99">
            <v>112.578</v>
          </cell>
          <cell r="Y99">
            <v>226.31739999999999</v>
          </cell>
          <cell r="Z99">
            <v>112.74979999999999</v>
          </cell>
          <cell r="AA99">
            <v>513.83050000000003</v>
          </cell>
          <cell r="AB99">
            <v>174.93510000000001</v>
          </cell>
          <cell r="AF99" t="str">
            <v>M0115</v>
          </cell>
          <cell r="AG99" t="str">
            <v>Biomanta vegetal de fibras de coco entrelaçadas com fios biodegradáveis de densidade 0,5 kg/m²</v>
          </cell>
          <cell r="AH99" t="str">
            <v>m²</v>
          </cell>
          <cell r="AI99">
            <v>4.1082000000000001</v>
          </cell>
        </row>
        <row r="100">
          <cell r="C100" t="str">
            <v>Custo unitário total de tempo fixo</v>
          </cell>
          <cell r="R100" t="str">
            <v>E9106</v>
          </cell>
          <cell r="S100" t="str">
            <v>Balsa de convés com capacidade de 200 t</v>
          </cell>
          <cell r="T100">
            <v>1217076.2209999999</v>
          </cell>
          <cell r="U100">
            <v>9.5084</v>
          </cell>
          <cell r="V100">
            <v>3.4943</v>
          </cell>
          <cell r="W100">
            <v>0</v>
          </cell>
          <cell r="X100">
            <v>15.847300000000001</v>
          </cell>
          <cell r="Y100">
            <v>0</v>
          </cell>
          <cell r="Z100">
            <v>19.091799999999999</v>
          </cell>
          <cell r="AA100">
            <v>47.941800000000001</v>
          </cell>
          <cell r="AB100">
            <v>32.094499999999996</v>
          </cell>
          <cell r="AF100" t="str">
            <v>M0116</v>
          </cell>
          <cell r="AG100" t="str">
            <v>Mangote flangeado de borracha reforçada com lonas sintéticas - C = 1.800 mm e D = 250 mm</v>
          </cell>
          <cell r="AH100" t="str">
            <v>un</v>
          </cell>
          <cell r="AI100">
            <v>10814.3763</v>
          </cell>
        </row>
        <row r="101">
          <cell r="C101" t="str">
            <v>Quantidade</v>
          </cell>
          <cell r="D101" t="str">
            <v>Unidade</v>
          </cell>
          <cell r="E101" t="str">
            <v>DMT</v>
          </cell>
          <cell r="I101" t="str">
            <v>Custo Unitário</v>
          </cell>
          <cell r="R101" t="str">
            <v>E9107</v>
          </cell>
          <cell r="S101" t="str">
            <v>Compactador manual com soquete vibratório - 3 HP</v>
          </cell>
          <cell r="T101">
            <v>7106.8531999999996</v>
          </cell>
          <cell r="U101">
            <v>0.4738</v>
          </cell>
          <cell r="V101">
            <v>6.5299999999999997E-2</v>
          </cell>
          <cell r="W101">
            <v>0</v>
          </cell>
          <cell r="X101">
            <v>0.4738</v>
          </cell>
          <cell r="Y101">
            <v>3.0137</v>
          </cell>
          <cell r="Z101">
            <v>0</v>
          </cell>
          <cell r="AA101">
            <v>4.0266000000000002</v>
          </cell>
          <cell r="AB101">
            <v>0.53910000000000002</v>
          </cell>
          <cell r="AF101" t="str">
            <v>M0117</v>
          </cell>
          <cell r="AG101" t="str">
            <v>Mangote flangeado de borracha reforçada com lonas sintéticas - C = 1.800 mm e D = 400 mm</v>
          </cell>
          <cell r="AH101" t="str">
            <v>un</v>
          </cell>
          <cell r="AI101">
            <v>11771.6405</v>
          </cell>
        </row>
        <row r="102">
          <cell r="E102" t="str">
            <v>LN</v>
          </cell>
          <cell r="F102" t="str">
            <v>RP</v>
          </cell>
          <cell r="G102" t="str">
            <v>P</v>
          </cell>
          <cell r="R102" t="str">
            <v>E9108</v>
          </cell>
          <cell r="S102" t="str">
            <v>Soldadora de trilho por caldeamento na via - 400 kW</v>
          </cell>
          <cell r="T102">
            <v>7294850.2800000003</v>
          </cell>
          <cell r="U102">
            <v>116.7176</v>
          </cell>
          <cell r="V102">
            <v>59.744799999999998</v>
          </cell>
          <cell r="W102">
            <v>0</v>
          </cell>
          <cell r="X102">
            <v>145.89699999999999</v>
          </cell>
          <cell r="Y102">
            <v>153.696</v>
          </cell>
          <cell r="Z102">
            <v>70.884</v>
          </cell>
          <cell r="AA102">
            <v>546.93939999999998</v>
          </cell>
          <cell r="AB102">
            <v>247.34639999999999</v>
          </cell>
          <cell r="AF102" t="str">
            <v>M0118</v>
          </cell>
          <cell r="AG102" t="str">
            <v>Mangote flangeado de borracha reforçada com lonas sintéticas - C = 1.800 mm e D = 450 mm</v>
          </cell>
          <cell r="AH102" t="str">
            <v>un</v>
          </cell>
          <cell r="AI102">
            <v>14155.3909</v>
          </cell>
        </row>
        <row r="103">
          <cell r="C103" t="str">
            <v>Custo unitário total de transporte</v>
          </cell>
          <cell r="R103" t="str">
            <v>E9110</v>
          </cell>
          <cell r="S103" t="str">
            <v>Escavadeira hidráulica sobre esteira para rocha com caçamba com capacidade de 1,5 m³ - 110 kW</v>
          </cell>
          <cell r="T103">
            <v>762545.93460000004</v>
          </cell>
          <cell r="U103">
            <v>53.3782</v>
          </cell>
          <cell r="V103">
            <v>7.2061000000000002</v>
          </cell>
          <cell r="W103">
            <v>0</v>
          </cell>
          <cell r="X103">
            <v>53.3782</v>
          </cell>
          <cell r="Y103">
            <v>66.921800000000005</v>
          </cell>
          <cell r="Z103">
            <v>27.014800000000001</v>
          </cell>
          <cell r="AA103">
            <v>207.8991</v>
          </cell>
          <cell r="AB103">
            <v>87.599100000000007</v>
          </cell>
          <cell r="AF103" t="str">
            <v>M0119</v>
          </cell>
          <cell r="AG103" t="str">
            <v>Mangote flangeado de borracha reforçada com lonas sintéticas - C = 1.800 mm e D = 500 mm</v>
          </cell>
          <cell r="AH103" t="str">
            <v>un</v>
          </cell>
          <cell r="AI103">
            <v>16577.3956</v>
          </cell>
        </row>
        <row r="104">
          <cell r="C104">
            <v>4011353</v>
          </cell>
          <cell r="D104" t="str">
            <v>m²</v>
          </cell>
          <cell r="E104" t="str">
            <v>Custo unitário direto total</v>
          </cell>
          <cell r="I104">
            <v>1.1096719353399334</v>
          </cell>
          <cell r="R104" t="str">
            <v>E9111</v>
          </cell>
          <cell r="S104" t="str">
            <v>Jateador abrasivo úmido com capacidade de 200 kg de abrasivo</v>
          </cell>
          <cell r="T104">
            <v>165604.50270000001</v>
          </cell>
          <cell r="U104">
            <v>14.904400000000001</v>
          </cell>
          <cell r="V104">
            <v>1.5649999999999999</v>
          </cell>
          <cell r="W104">
            <v>0</v>
          </cell>
          <cell r="X104">
            <v>14.904400000000001</v>
          </cell>
          <cell r="Y104">
            <v>0</v>
          </cell>
          <cell r="Z104">
            <v>21.640999999999998</v>
          </cell>
          <cell r="AA104">
            <v>53.014800000000001</v>
          </cell>
          <cell r="AB104">
            <v>38.110399999999998</v>
          </cell>
          <cell r="AF104" t="str">
            <v>M0120</v>
          </cell>
          <cell r="AG104" t="str">
            <v>Tubo PEAD PE 100 PN 8 com flanges - D = 250 mm</v>
          </cell>
          <cell r="AH104" t="str">
            <v>m</v>
          </cell>
          <cell r="AI104">
            <v>288.26190000000003</v>
          </cell>
        </row>
        <row r="105">
          <cell r="R105" t="str">
            <v>E9112</v>
          </cell>
          <cell r="S105" t="str">
            <v>Sinalizador direcional móvel, LED, com banco fotovoltaico de energia e montado em chassi com engate</v>
          </cell>
          <cell r="T105">
            <v>22713.503499999999</v>
          </cell>
          <cell r="U105">
            <v>2.0442</v>
          </cell>
          <cell r="V105">
            <v>0.21460000000000001</v>
          </cell>
          <cell r="W105">
            <v>0</v>
          </cell>
          <cell r="X105">
            <v>1.1356999999999999</v>
          </cell>
          <cell r="Y105">
            <v>0</v>
          </cell>
          <cell r="Z105">
            <v>0</v>
          </cell>
          <cell r="AA105">
            <v>3.3944999999999999</v>
          </cell>
          <cell r="AB105">
            <v>2.2587999999999999</v>
          </cell>
          <cell r="AF105" t="str">
            <v>M0121</v>
          </cell>
          <cell r="AG105" t="str">
            <v>Tubo PEAD PE 100 PN 8 com flanges - D = 400 mm</v>
          </cell>
          <cell r="AH105" t="str">
            <v>m</v>
          </cell>
          <cell r="AI105">
            <v>2040.2837999999999</v>
          </cell>
        </row>
        <row r="106">
          <cell r="R106" t="str">
            <v>E9113</v>
          </cell>
          <cell r="S106" t="str">
            <v>Painel de mensagem variável PMV portátil móvel, LED, com energia solar e montado em chassi sobre rodas</v>
          </cell>
          <cell r="T106">
            <v>145054.06450000001</v>
          </cell>
          <cell r="U106">
            <v>13.0549</v>
          </cell>
          <cell r="V106">
            <v>1.3708</v>
          </cell>
          <cell r="W106">
            <v>0</v>
          </cell>
          <cell r="X106">
            <v>7.2526999999999999</v>
          </cell>
          <cell r="Y106">
            <v>0</v>
          </cell>
          <cell r="Z106">
            <v>0</v>
          </cell>
          <cell r="AA106">
            <v>21.6784</v>
          </cell>
          <cell r="AB106">
            <v>14.425700000000001</v>
          </cell>
          <cell r="AF106" t="str">
            <v>M0122</v>
          </cell>
          <cell r="AG106" t="str">
            <v>Tubo PEAD PE 100 PN 8 com flanges - D = 450 mm</v>
          </cell>
          <cell r="AH106" t="str">
            <v>m</v>
          </cell>
          <cell r="AI106">
            <v>2563.4337999999998</v>
          </cell>
        </row>
        <row r="107">
          <cell r="I107" t="str">
            <v>DNIT</v>
          </cell>
          <cell r="R107" t="str">
            <v>E9116</v>
          </cell>
          <cell r="S107" t="str">
            <v>Semáforo móvel com 3 lentes e bateria - D = 200 mm</v>
          </cell>
          <cell r="T107">
            <v>3775.69</v>
          </cell>
          <cell r="U107">
            <v>0.33979999999999999</v>
          </cell>
          <cell r="V107">
            <v>3.5700000000000003E-2</v>
          </cell>
          <cell r="W107">
            <v>0</v>
          </cell>
          <cell r="X107">
            <v>0.1888</v>
          </cell>
          <cell r="Y107">
            <v>0</v>
          </cell>
          <cell r="Z107">
            <v>0</v>
          </cell>
          <cell r="AA107">
            <v>0.56430000000000002</v>
          </cell>
          <cell r="AB107">
            <v>0.3755</v>
          </cell>
          <cell r="AF107" t="str">
            <v>M0123</v>
          </cell>
          <cell r="AG107" t="str">
            <v>Tubo PEAD PE 100 PN 8 com flanges - D = 500 mm</v>
          </cell>
          <cell r="AH107" t="str">
            <v>m</v>
          </cell>
          <cell r="AI107">
            <v>2871.7397000000001</v>
          </cell>
        </row>
        <row r="108">
          <cell r="R108" t="str">
            <v>E9117</v>
          </cell>
          <cell r="S108" t="str">
            <v>Carregadeira de pneus para rocha com capacidade de 2,9 m³ - 96 kW</v>
          </cell>
          <cell r="T108">
            <v>468798.3922</v>
          </cell>
          <cell r="U108">
            <v>46.879800000000003</v>
          </cell>
          <cell r="V108">
            <v>4.7465999999999999</v>
          </cell>
          <cell r="W108">
            <v>0</v>
          </cell>
          <cell r="X108">
            <v>46.879800000000003</v>
          </cell>
          <cell r="Y108">
            <v>58.404499999999999</v>
          </cell>
          <cell r="Z108">
            <v>27.014800000000001</v>
          </cell>
          <cell r="AA108">
            <v>183.9255</v>
          </cell>
          <cell r="AB108">
            <v>78.641199999999998</v>
          </cell>
          <cell r="AF108" t="str">
            <v>M0124</v>
          </cell>
          <cell r="AG108" t="str">
            <v>Flutuador bipartido em MDPE com núcleo de espuma de poliuretano para tubos - D = 250 mm</v>
          </cell>
          <cell r="AH108" t="str">
            <v>un</v>
          </cell>
          <cell r="AI108">
            <v>2372.5974999999999</v>
          </cell>
        </row>
        <row r="109">
          <cell r="D109" t="str">
            <v>Outubro/2019</v>
          </cell>
          <cell r="G109" t="str">
            <v>Produção da equipe</v>
          </cell>
          <cell r="H109">
            <v>83</v>
          </cell>
          <cell r="I109" t="str">
            <v>t</v>
          </cell>
          <cell r="R109" t="str">
            <v>E9118</v>
          </cell>
          <cell r="S109" t="str">
            <v>Cortadora de pavimento com disco diamantado de 450 a 1.500 mm - 74 kW</v>
          </cell>
          <cell r="T109">
            <v>332650.49209999997</v>
          </cell>
          <cell r="U109">
            <v>26.611999999999998</v>
          </cell>
          <cell r="V109">
            <v>3.1435</v>
          </cell>
          <cell r="W109">
            <v>0</v>
          </cell>
          <cell r="X109">
            <v>26.611999999999998</v>
          </cell>
          <cell r="Y109">
            <v>35.542200000000001</v>
          </cell>
          <cell r="Z109">
            <v>21.640999999999998</v>
          </cell>
          <cell r="AA109">
            <v>113.55070000000001</v>
          </cell>
          <cell r="AB109">
            <v>51.396500000000003</v>
          </cell>
          <cell r="AF109" t="str">
            <v>M0125</v>
          </cell>
          <cell r="AG109" t="str">
            <v>Flutuador bipartido em MDPE com núcleo de espuma de poliuretano para tubos - D = 400 mm</v>
          </cell>
          <cell r="AH109" t="str">
            <v>un</v>
          </cell>
          <cell r="AI109">
            <v>3421.4618999999998</v>
          </cell>
        </row>
        <row r="110">
          <cell r="H110" t="str">
            <v>Valores em reais (R$)</v>
          </cell>
          <cell r="R110" t="str">
            <v>E9119</v>
          </cell>
          <cell r="S110" t="str">
            <v>Carregadeira compacta com valetadeira para escavação até a profundidade de 1.575 mm - 55,4 kW</v>
          </cell>
          <cell r="T110">
            <v>308069.94089999999</v>
          </cell>
          <cell r="U110">
            <v>21.564900000000002</v>
          </cell>
          <cell r="V110">
            <v>2.9113000000000002</v>
          </cell>
          <cell r="W110">
            <v>0</v>
          </cell>
          <cell r="X110">
            <v>21.564900000000002</v>
          </cell>
          <cell r="Y110">
            <v>44.347700000000003</v>
          </cell>
          <cell r="Z110">
            <v>27.014800000000001</v>
          </cell>
          <cell r="AA110">
            <v>117.4036</v>
          </cell>
          <cell r="AB110">
            <v>51.491</v>
          </cell>
          <cell r="AF110" t="str">
            <v>M0126</v>
          </cell>
          <cell r="AG110" t="str">
            <v>Flutuador bipartido em MDPE com núcleo de espuma de poliuretano para tubos - D = 450 mm</v>
          </cell>
          <cell r="AH110" t="str">
            <v>un</v>
          </cell>
          <cell r="AI110">
            <v>3927.7413999999999</v>
          </cell>
        </row>
        <row r="111">
          <cell r="C111" t="str">
            <v>Quantidade</v>
          </cell>
          <cell r="D111" t="str">
            <v>Utilização</v>
          </cell>
          <cell r="F111" t="str">
            <v>Custo Horário</v>
          </cell>
          <cell r="I111" t="str">
            <v>Custo</v>
          </cell>
          <cell r="R111" t="str">
            <v>E9120</v>
          </cell>
          <cell r="S111" t="str">
            <v>Equipamento de cravação sobre esteira para geodreno com haste para profundidade de até 20 m - 200 kW</v>
          </cell>
          <cell r="T111">
            <v>400000</v>
          </cell>
          <cell r="U111">
            <v>28</v>
          </cell>
          <cell r="V111">
            <v>3.78</v>
          </cell>
          <cell r="W111">
            <v>0</v>
          </cell>
          <cell r="X111">
            <v>28</v>
          </cell>
          <cell r="Y111">
            <v>83.251999999999995</v>
          </cell>
          <cell r="Z111">
            <v>21.640999999999998</v>
          </cell>
          <cell r="AA111">
            <v>164.673</v>
          </cell>
          <cell r="AB111">
            <v>53.420999999999999</v>
          </cell>
          <cell r="AF111" t="str">
            <v>M0127</v>
          </cell>
          <cell r="AG111" t="str">
            <v>Flutuador bipartido em MDPE com núcleo de espuma de poliuretano para tubos - D = 500 mm</v>
          </cell>
          <cell r="AH111" t="str">
            <v>un</v>
          </cell>
          <cell r="AI111">
            <v>4233.3235000000004</v>
          </cell>
        </row>
        <row r="112">
          <cell r="D112" t="str">
            <v>Operativa</v>
          </cell>
          <cell r="E112" t="str">
            <v>Improdutiva</v>
          </cell>
          <cell r="F112" t="str">
            <v>Produtivo</v>
          </cell>
          <cell r="G112" t="str">
            <v>Improdutivo</v>
          </cell>
          <cell r="I112" t="str">
            <v>Horário Total</v>
          </cell>
          <cell r="R112" t="str">
            <v>E9121</v>
          </cell>
          <cell r="S112" t="str">
            <v>Plataforma elevatória articulada elétrica com alcance de 6 m com capacidade de 500 kg - 1,5 kW</v>
          </cell>
          <cell r="T112">
            <v>151957.57860000001</v>
          </cell>
          <cell r="U112">
            <v>10.1305</v>
          </cell>
          <cell r="V112">
            <v>1.3960999999999999</v>
          </cell>
          <cell r="W112">
            <v>0</v>
          </cell>
          <cell r="X112">
            <v>10.1305</v>
          </cell>
          <cell r="Y112">
            <v>0</v>
          </cell>
          <cell r="Z112">
            <v>21.640999999999998</v>
          </cell>
          <cell r="AA112">
            <v>43.298099999999998</v>
          </cell>
          <cell r="AB112">
            <v>33.1676</v>
          </cell>
          <cell r="AF112" t="str">
            <v>M0128</v>
          </cell>
          <cell r="AG112" t="str">
            <v>Tela verde composta de fibras vegetais e fios de polipropileno com densidade de 600 g/m²</v>
          </cell>
          <cell r="AH112" t="str">
            <v>m²</v>
          </cell>
          <cell r="AI112">
            <v>3.8313999999999999</v>
          </cell>
        </row>
        <row r="113">
          <cell r="C113">
            <v>1</v>
          </cell>
          <cell r="D113">
            <v>0.59</v>
          </cell>
          <cell r="E113">
            <v>0.41000000000000003</v>
          </cell>
          <cell r="F113">
            <v>134.5316</v>
          </cell>
          <cell r="G113">
            <v>65.407200000000003</v>
          </cell>
          <cell r="I113">
            <v>106.190596</v>
          </cell>
          <cell r="R113" t="str">
            <v>E9122</v>
          </cell>
          <cell r="S113" t="str">
            <v>Perfuratriz tipo Bottom Feed para coluna de brita - 194 kW</v>
          </cell>
          <cell r="T113">
            <v>3667291.4989999998</v>
          </cell>
          <cell r="U113">
            <v>244.48609999999999</v>
          </cell>
          <cell r="V113">
            <v>33.693199999999997</v>
          </cell>
          <cell r="W113">
            <v>0</v>
          </cell>
          <cell r="X113">
            <v>244.48609999999999</v>
          </cell>
          <cell r="Y113">
            <v>62.1188</v>
          </cell>
          <cell r="Z113">
            <v>27.014800000000001</v>
          </cell>
          <cell r="AA113">
            <v>611.79899999999998</v>
          </cell>
          <cell r="AB113">
            <v>305.19409999999999</v>
          </cell>
          <cell r="AF113" t="str">
            <v>M0129</v>
          </cell>
          <cell r="AG113" t="str">
            <v>Retentores de sedimentos de fibras vegetais - D = 20 cm</v>
          </cell>
          <cell r="AH113" t="str">
            <v>m</v>
          </cell>
          <cell r="AI113">
            <v>48.096400000000003</v>
          </cell>
        </row>
        <row r="114">
          <cell r="C114">
            <v>1</v>
          </cell>
          <cell r="D114">
            <v>0.51</v>
          </cell>
          <cell r="E114">
            <v>0.49</v>
          </cell>
          <cell r="F114">
            <v>132.7996</v>
          </cell>
          <cell r="G114">
            <v>56.867600000000003</v>
          </cell>
          <cell r="I114">
            <v>95.592919999999992</v>
          </cell>
          <cell r="R114" t="str">
            <v>E9125</v>
          </cell>
          <cell r="S114" t="str">
            <v>Van furgão - 93 kW</v>
          </cell>
          <cell r="T114">
            <v>120320</v>
          </cell>
          <cell r="U114">
            <v>6.016</v>
          </cell>
          <cell r="V114">
            <v>1.1053999999999999</v>
          </cell>
          <cell r="W114">
            <v>0.87729999999999997</v>
          </cell>
          <cell r="X114">
            <v>6.016</v>
          </cell>
          <cell r="Y114">
            <v>14.8893</v>
          </cell>
          <cell r="Z114">
            <v>23.806899999999999</v>
          </cell>
          <cell r="AA114">
            <v>52.710900000000002</v>
          </cell>
          <cell r="AB114">
            <v>31.805599999999998</v>
          </cell>
          <cell r="AF114" t="str">
            <v>M0130</v>
          </cell>
          <cell r="AG114" t="str">
            <v>Ancoragem ativa em ferro fundido nodular para 15 cordoalhas - D = 15,2 mm</v>
          </cell>
          <cell r="AH114" t="str">
            <v>un</v>
          </cell>
          <cell r="AI114">
            <v>3153.3234000000002</v>
          </cell>
        </row>
        <row r="115">
          <cell r="C115">
            <v>1</v>
          </cell>
          <cell r="D115">
            <v>0.89</v>
          </cell>
          <cell r="E115">
            <v>0.10999999999999999</v>
          </cell>
          <cell r="F115">
            <v>169.30619999999999</v>
          </cell>
          <cell r="G115">
            <v>75.630300000000005</v>
          </cell>
          <cell r="I115">
            <v>159.00185099999999</v>
          </cell>
          <cell r="R115" t="str">
            <v>E9126</v>
          </cell>
          <cell r="S115" t="str">
            <v>Draga backhoe com capacidade de 7 m³ - 1.000 kW</v>
          </cell>
          <cell r="T115">
            <v>62232871.68</v>
          </cell>
          <cell r="U115">
            <v>700.11980000000005</v>
          </cell>
          <cell r="V115">
            <v>257.29399999999998</v>
          </cell>
          <cell r="W115">
            <v>0</v>
          </cell>
          <cell r="X115">
            <v>1555.8217999999999</v>
          </cell>
          <cell r="Y115">
            <v>608.38</v>
          </cell>
          <cell r="Z115">
            <v>66.921499999999995</v>
          </cell>
          <cell r="AA115">
            <v>3188.5371</v>
          </cell>
          <cell r="AB115">
            <v>1024.3353</v>
          </cell>
          <cell r="AF115" t="str">
            <v>M0131</v>
          </cell>
          <cell r="AG115" t="str">
            <v>Tubo PEAD com paredes estruturadas para drenagem - D = 400 mm</v>
          </cell>
          <cell r="AH115" t="str">
            <v>m</v>
          </cell>
          <cell r="AI115">
            <v>136.31710000000001</v>
          </cell>
        </row>
        <row r="116">
          <cell r="G116" t="str">
            <v>Custo horário total de equipamentos</v>
          </cell>
          <cell r="I116">
            <v>360.78536699999995</v>
          </cell>
          <cell r="R116" t="str">
            <v>E9127</v>
          </cell>
          <cell r="S116" t="str">
            <v>Escavadeira hidráulica com martelo hidráulico de 500 kg - 103 kW</v>
          </cell>
          <cell r="T116">
            <v>739593.60820000002</v>
          </cell>
          <cell r="U116">
            <v>84.525000000000006</v>
          </cell>
          <cell r="V116">
            <v>7.4884000000000004</v>
          </cell>
          <cell r="W116">
            <v>0</v>
          </cell>
          <cell r="X116">
            <v>105.6562</v>
          </cell>
          <cell r="Y116">
            <v>42.8748</v>
          </cell>
          <cell r="Z116">
            <v>27.014800000000001</v>
          </cell>
          <cell r="AA116">
            <v>267.55919999999998</v>
          </cell>
          <cell r="AB116">
            <v>119.0282</v>
          </cell>
          <cell r="AF116" t="str">
            <v>M0132</v>
          </cell>
          <cell r="AG116" t="str">
            <v>Tubo PEAD com paredes estruturadas para drenagem - D = 450 mm</v>
          </cell>
          <cell r="AH116" t="str">
            <v>m</v>
          </cell>
          <cell r="AI116">
            <v>176.0377</v>
          </cell>
        </row>
        <row r="117">
          <cell r="C117" t="str">
            <v>Quantidade</v>
          </cell>
          <cell r="D117" t="str">
            <v>Unidade</v>
          </cell>
          <cell r="E117" t="str">
            <v>Custo Horário</v>
          </cell>
          <cell r="G117" t="str">
            <v>Custo Horário Total</v>
          </cell>
          <cell r="R117" t="str">
            <v>E9134</v>
          </cell>
          <cell r="S117" t="str">
            <v>Miniônibus - 111 kW</v>
          </cell>
          <cell r="T117">
            <v>308180.08600000001</v>
          </cell>
          <cell r="U117">
            <v>13.207700000000001</v>
          </cell>
          <cell r="V117">
            <v>2.7736000000000001</v>
          </cell>
          <cell r="W117">
            <v>2.2012999999999998</v>
          </cell>
          <cell r="X117">
            <v>19.811599999999999</v>
          </cell>
          <cell r="Y117">
            <v>67.530199999999994</v>
          </cell>
          <cell r="Z117">
            <v>24.831199999999999</v>
          </cell>
          <cell r="AA117">
            <v>130.35560000000001</v>
          </cell>
          <cell r="AB117">
            <v>43.013800000000003</v>
          </cell>
          <cell r="AF117" t="str">
            <v>M0133</v>
          </cell>
          <cell r="AG117" t="str">
            <v>Tubo PEAD com paredes estruturadas para drenagem - D = 500 mm</v>
          </cell>
          <cell r="AH117" t="str">
            <v>m</v>
          </cell>
          <cell r="AI117">
            <v>225.7226</v>
          </cell>
        </row>
        <row r="118">
          <cell r="C118">
            <v>8</v>
          </cell>
          <cell r="D118" t="str">
            <v>h</v>
          </cell>
          <cell r="F118">
            <v>19.378599999999999</v>
          </cell>
          <cell r="I118">
            <v>155.02879999999999</v>
          </cell>
          <cell r="R118" t="str">
            <v>E9141</v>
          </cell>
          <cell r="S118" t="str">
            <v>Rebarbador hidráulico com bomba manual com capacidade de força de 9.000 kgf</v>
          </cell>
          <cell r="T118">
            <v>68892.910699999993</v>
          </cell>
          <cell r="U118">
            <v>5.5114000000000001</v>
          </cell>
          <cell r="V118">
            <v>0.65100000000000002</v>
          </cell>
          <cell r="W118">
            <v>0</v>
          </cell>
          <cell r="X118">
            <v>3.4445999999999999</v>
          </cell>
          <cell r="Y118">
            <v>0</v>
          </cell>
          <cell r="Z118">
            <v>0</v>
          </cell>
          <cell r="AA118">
            <v>9.6069999999999993</v>
          </cell>
          <cell r="AB118">
            <v>6.1623999999999999</v>
          </cell>
          <cell r="AF118" t="str">
            <v>M0134</v>
          </cell>
          <cell r="AG118" t="str">
            <v>Tubo PEAD com paredes estruturadas para drenagem - D = 600 mm</v>
          </cell>
          <cell r="AH118" t="str">
            <v>m</v>
          </cell>
          <cell r="AI118">
            <v>334.92099999999999</v>
          </cell>
        </row>
        <row r="119">
          <cell r="C119" t="str">
            <v>Custo horário total de mão de obra</v>
          </cell>
          <cell r="H119">
            <v>155.02879999999999</v>
          </cell>
          <cell r="R119" t="str">
            <v>E9142</v>
          </cell>
          <cell r="S119" t="str">
            <v>Máquina de alívio de tensões em trilhos Rail Knocker 48 batidas/min - 4,8 kW</v>
          </cell>
          <cell r="T119">
            <v>150824.21239999999</v>
          </cell>
          <cell r="U119">
            <v>12.065899999999999</v>
          </cell>
          <cell r="V119">
            <v>1.4253</v>
          </cell>
          <cell r="W119">
            <v>0</v>
          </cell>
          <cell r="X119">
            <v>7.5411999999999999</v>
          </cell>
          <cell r="Y119">
            <v>5.1662999999999997</v>
          </cell>
          <cell r="Z119">
            <v>0</v>
          </cell>
          <cell r="AA119">
            <v>26.198699999999999</v>
          </cell>
          <cell r="AB119">
            <v>13.491199999999999</v>
          </cell>
          <cell r="AF119" t="str">
            <v>M0135</v>
          </cell>
          <cell r="AG119" t="str">
            <v>Tubo PEAD com paredes estruturadas para drenagem - D = 750 mm</v>
          </cell>
          <cell r="AH119" t="str">
            <v>m</v>
          </cell>
          <cell r="AI119">
            <v>497.9246</v>
          </cell>
        </row>
        <row r="120">
          <cell r="C120" t="str">
            <v>Custo horário total de execução</v>
          </cell>
          <cell r="I120">
            <v>515.814167</v>
          </cell>
          <cell r="R120" t="str">
            <v>E9143</v>
          </cell>
          <cell r="S120" t="str">
            <v>Máquina liberadora de tensão para o processo de soldagem Rail Tensor THR 542</v>
          </cell>
          <cell r="T120">
            <v>84198.871299999999</v>
          </cell>
          <cell r="U120">
            <v>6.7359</v>
          </cell>
          <cell r="V120">
            <v>0.79569999999999996</v>
          </cell>
          <cell r="W120">
            <v>0</v>
          </cell>
          <cell r="X120">
            <v>4.2099000000000002</v>
          </cell>
          <cell r="Y120">
            <v>0</v>
          </cell>
          <cell r="Z120">
            <v>0</v>
          </cell>
          <cell r="AA120">
            <v>11.7415</v>
          </cell>
          <cell r="AB120">
            <v>7.5316000000000001</v>
          </cell>
          <cell r="AF120" t="str">
            <v>M0136</v>
          </cell>
          <cell r="AG120" t="str">
            <v>Tubo PEAD com paredes estruturadas para drenagem - D = 800 mm</v>
          </cell>
          <cell r="AH120" t="str">
            <v>m</v>
          </cell>
          <cell r="AI120">
            <v>527.3768</v>
          </cell>
        </row>
        <row r="121">
          <cell r="C121" t="str">
            <v>Custo unitário de execução</v>
          </cell>
          <cell r="I121">
            <v>6.2146285180722893</v>
          </cell>
          <cell r="R121" t="str">
            <v>E9144</v>
          </cell>
          <cell r="S121" t="str">
            <v>Pórtico metálico com talha com capacidade de 5 t</v>
          </cell>
          <cell r="T121">
            <v>121884.7645</v>
          </cell>
          <cell r="U121">
            <v>4.8754</v>
          </cell>
          <cell r="V121">
            <v>1.0558000000000001</v>
          </cell>
          <cell r="W121">
            <v>0</v>
          </cell>
          <cell r="X121">
            <v>3.0470999999999999</v>
          </cell>
          <cell r="Y121">
            <v>0</v>
          </cell>
          <cell r="Z121">
            <v>21.640999999999998</v>
          </cell>
          <cell r="AA121">
            <v>30.619299999999999</v>
          </cell>
          <cell r="AB121">
            <v>27.572199999999999</v>
          </cell>
          <cell r="AF121" t="str">
            <v>M0137</v>
          </cell>
          <cell r="AG121" t="str">
            <v>Tubo PEAD com paredes estruturadas para drenagem - D = 900 mm</v>
          </cell>
          <cell r="AH121" t="str">
            <v>m</v>
          </cell>
          <cell r="AI121">
            <v>556.23329999999999</v>
          </cell>
        </row>
        <row r="122">
          <cell r="G122" t="str">
            <v>Custo do FIC</v>
          </cell>
          <cell r="H122">
            <v>5.2300000000000003E-3</v>
          </cell>
          <cell r="I122">
            <v>3.2502507149518071E-2</v>
          </cell>
          <cell r="R122" t="str">
            <v>E9148</v>
          </cell>
          <cell r="S122" t="str">
            <v>Macaco de protensão de fios com bomba de 5 CV</v>
          </cell>
          <cell r="T122">
            <v>72422.384099999996</v>
          </cell>
          <cell r="U122">
            <v>4.1383999999999999</v>
          </cell>
          <cell r="V122">
            <v>0.65180000000000005</v>
          </cell>
          <cell r="W122">
            <v>0</v>
          </cell>
          <cell r="X122">
            <v>4.1383999999999999</v>
          </cell>
          <cell r="Y122">
            <v>0</v>
          </cell>
          <cell r="Z122">
            <v>35.442</v>
          </cell>
          <cell r="AA122">
            <v>44.370600000000003</v>
          </cell>
          <cell r="AB122">
            <v>40.232199999999999</v>
          </cell>
          <cell r="AF122" t="str">
            <v>M0138</v>
          </cell>
          <cell r="AG122" t="str">
            <v>Ancoragem ativa em ferro fundido nodular para 19 cordoalhas - D = 15,2 mm</v>
          </cell>
          <cell r="AH122" t="str">
            <v>un</v>
          </cell>
          <cell r="AI122">
            <v>3835.5437999999999</v>
          </cell>
        </row>
        <row r="123">
          <cell r="G123" t="str">
            <v>Custo do FIT</v>
          </cell>
          <cell r="R123" t="str">
            <v>E9149</v>
          </cell>
          <cell r="S123" t="str">
            <v>Máquina de aplicação e extração de grampo elástico tipo pandrol - 6,7 kW</v>
          </cell>
          <cell r="T123">
            <v>207301.58660000001</v>
          </cell>
          <cell r="U123">
            <v>16.584099999999999</v>
          </cell>
          <cell r="V123">
            <v>1.9590000000000001</v>
          </cell>
          <cell r="W123">
            <v>0</v>
          </cell>
          <cell r="X123">
            <v>16.584099999999999</v>
          </cell>
          <cell r="Y123">
            <v>7.2112999999999996</v>
          </cell>
          <cell r="Z123">
            <v>0</v>
          </cell>
          <cell r="AA123">
            <v>42.338500000000003</v>
          </cell>
          <cell r="AB123">
            <v>18.543099999999999</v>
          </cell>
          <cell r="AF123" t="str">
            <v>M0139</v>
          </cell>
          <cell r="AG123" t="str">
            <v>Tubo PEAD com paredes estruturadas para drenagem - D = 1.000 mm</v>
          </cell>
          <cell r="AH123" t="str">
            <v>m</v>
          </cell>
          <cell r="AI123">
            <v>788.91380000000004</v>
          </cell>
        </row>
        <row r="124">
          <cell r="C124" t="str">
            <v>Quantidade</v>
          </cell>
          <cell r="D124" t="str">
            <v>Unidade</v>
          </cell>
          <cell r="E124" t="str">
            <v>Preço Unitário</v>
          </cell>
          <cell r="G124" t="str">
            <v>Custo Unitário</v>
          </cell>
          <cell r="R124" t="str">
            <v>E9151</v>
          </cell>
          <cell r="S124" t="str">
            <v>Britador de mandíbulas móvel, sem peneira, com capacidade de 140 m³/h – 170 kW</v>
          </cell>
          <cell r="T124">
            <v>2780545.62</v>
          </cell>
          <cell r="U124">
            <v>158.88829999999999</v>
          </cell>
          <cell r="V124">
            <v>25.024899999999999</v>
          </cell>
          <cell r="W124">
            <v>0</v>
          </cell>
          <cell r="X124">
            <v>158.88829999999999</v>
          </cell>
          <cell r="Y124">
            <v>97.981200000000001</v>
          </cell>
          <cell r="Z124">
            <v>35.442</v>
          </cell>
          <cell r="AA124">
            <v>476.22469999999998</v>
          </cell>
          <cell r="AB124">
            <v>219.3552</v>
          </cell>
          <cell r="AF124" t="str">
            <v>M0140</v>
          </cell>
          <cell r="AG124" t="str">
            <v>Bentonita</v>
          </cell>
          <cell r="AH124" t="str">
            <v>kg</v>
          </cell>
          <cell r="AI124">
            <v>1.3687</v>
          </cell>
        </row>
        <row r="125">
          <cell r="C125" t="str">
            <v>Custo unitário total de material</v>
          </cell>
          <cell r="R125" t="str">
            <v>E9154</v>
          </cell>
          <cell r="S125" t="str">
            <v>Equipamento para selagem com material asfáltico rebocável - 35 kW</v>
          </cell>
          <cell r="T125">
            <v>272315.95</v>
          </cell>
          <cell r="U125">
            <v>17.506</v>
          </cell>
          <cell r="V125">
            <v>2.4508000000000001</v>
          </cell>
          <cell r="W125">
            <v>0</v>
          </cell>
          <cell r="X125">
            <v>5.8353000000000002</v>
          </cell>
          <cell r="Y125">
            <v>16.810500000000001</v>
          </cell>
          <cell r="Z125">
            <v>21.640999999999998</v>
          </cell>
          <cell r="AA125">
            <v>64.243600000000001</v>
          </cell>
          <cell r="AB125">
            <v>41.597799999999999</v>
          </cell>
          <cell r="AF125" t="str">
            <v>M0141</v>
          </cell>
          <cell r="AG125" t="str">
            <v>Tubo PEAD com paredes estruturadas para drenagem - D = 1.050 mm</v>
          </cell>
          <cell r="AH125" t="str">
            <v>m</v>
          </cell>
          <cell r="AI125">
            <v>774.25630000000001</v>
          </cell>
        </row>
        <row r="126">
          <cell r="C126" t="str">
            <v>Quantidade</v>
          </cell>
          <cell r="D126" t="str">
            <v>Unidade</v>
          </cell>
          <cell r="E126" t="str">
            <v>Custo Unitário</v>
          </cell>
          <cell r="G126" t="str">
            <v>Custo Unitário</v>
          </cell>
          <cell r="R126" t="str">
            <v>E9155</v>
          </cell>
          <cell r="S126" t="str">
            <v>Caldeira de asfalto rebocável com capacidade de 600 l</v>
          </cell>
          <cell r="T126">
            <v>50000</v>
          </cell>
          <cell r="U126">
            <v>3.2143000000000002</v>
          </cell>
          <cell r="V126">
            <v>0.45</v>
          </cell>
          <cell r="W126">
            <v>0</v>
          </cell>
          <cell r="X126">
            <v>1.0713999999999999</v>
          </cell>
          <cell r="Y126">
            <v>2.3311000000000002</v>
          </cell>
          <cell r="Z126">
            <v>0</v>
          </cell>
          <cell r="AA126">
            <v>7.0667999999999997</v>
          </cell>
          <cell r="AB126">
            <v>3.6642999999999999</v>
          </cell>
          <cell r="AF126" t="str">
            <v>M0142</v>
          </cell>
          <cell r="AG126" t="str">
            <v>Tubo PEAD com paredes estruturadas para drenagem - D = 1.200 mm</v>
          </cell>
          <cell r="AH126" t="str">
            <v>m</v>
          </cell>
          <cell r="AI126">
            <v>1107.492</v>
          </cell>
        </row>
        <row r="127">
          <cell r="C127">
            <v>1.02</v>
          </cell>
          <cell r="D127" t="str">
            <v>t</v>
          </cell>
          <cell r="F127">
            <v>261.38724147856624</v>
          </cell>
          <cell r="I127">
            <v>266.61498630813759</v>
          </cell>
          <cell r="R127" t="str">
            <v>E9200</v>
          </cell>
          <cell r="S127" t="str">
            <v>Carregadeira de pneus com capacidade de 3,3 m³ - 213 kW com periculosidade</v>
          </cell>
          <cell r="T127">
            <v>1005408.108</v>
          </cell>
          <cell r="U127">
            <v>70.378600000000006</v>
          </cell>
          <cell r="V127">
            <v>9.5010999999999992</v>
          </cell>
          <cell r="W127">
            <v>0</v>
          </cell>
          <cell r="X127">
            <v>70.378600000000006</v>
          </cell>
          <cell r="Y127">
            <v>54.562100000000001</v>
          </cell>
          <cell r="Z127">
            <v>33.433799999999998</v>
          </cell>
          <cell r="AA127">
            <v>238.2542</v>
          </cell>
          <cell r="AB127">
            <v>113.3135</v>
          </cell>
          <cell r="AF127" t="str">
            <v>M0143</v>
          </cell>
          <cell r="AG127" t="str">
            <v>Tubo PEAD com paredes estruturadas para drenagem - D = 1.500 mm</v>
          </cell>
          <cell r="AH127" t="str">
            <v>m</v>
          </cell>
          <cell r="AI127">
            <v>1350.8942999999999</v>
          </cell>
        </row>
        <row r="128">
          <cell r="C128" t="str">
            <v>Custo total de atividades auxiliares</v>
          </cell>
          <cell r="R128" t="str">
            <v>E9203</v>
          </cell>
          <cell r="S128" t="str">
            <v>Escavadeira hidráulica com martelo hidráulico de 1.700 kg - 103 kW com periculosidade</v>
          </cell>
          <cell r="T128">
            <v>1017318.612</v>
          </cell>
          <cell r="U128">
            <v>116.265</v>
          </cell>
          <cell r="V128">
            <v>10.3004</v>
          </cell>
          <cell r="W128">
            <v>0</v>
          </cell>
          <cell r="X128">
            <v>145.3312</v>
          </cell>
          <cell r="Y128">
            <v>42.8748</v>
          </cell>
          <cell r="Z128">
            <v>33.433799999999998</v>
          </cell>
          <cell r="AA128">
            <v>348.20519999999999</v>
          </cell>
          <cell r="AB128">
            <v>159.9992</v>
          </cell>
          <cell r="AF128" t="str">
            <v>M0144</v>
          </cell>
          <cell r="AG128" t="str">
            <v>Tubo PEAD com paredes estruturadas para drenagem - D = 1.800 mm</v>
          </cell>
          <cell r="AH128" t="str">
            <v>m</v>
          </cell>
          <cell r="AI128">
            <v>4036.7426</v>
          </cell>
        </row>
        <row r="129">
          <cell r="G129" t="str">
            <v>Subtotal</v>
          </cell>
          <cell r="R129" t="str">
            <v>E9204</v>
          </cell>
          <cell r="S129" t="str">
            <v>Perfuratriz sobre esteiras - 145 kW com periculosidade</v>
          </cell>
          <cell r="T129">
            <v>1849310.9110000001</v>
          </cell>
          <cell r="U129">
            <v>123.28740000000001</v>
          </cell>
          <cell r="V129">
            <v>16.990500000000001</v>
          </cell>
          <cell r="W129">
            <v>0</v>
          </cell>
          <cell r="X129">
            <v>123.28740000000001</v>
          </cell>
          <cell r="Y129">
            <v>69.643500000000003</v>
          </cell>
          <cell r="Z129">
            <v>33.433799999999998</v>
          </cell>
          <cell r="AA129">
            <v>366.64260000000002</v>
          </cell>
          <cell r="AB129">
            <v>173.71170000000001</v>
          </cell>
          <cell r="AF129" t="str">
            <v>M0145</v>
          </cell>
          <cell r="AG129" t="str">
            <v>Ancoragem ativa em ferro fundido nodular para 22 cordoalhas - D = 15,2 mm</v>
          </cell>
          <cell r="AH129" t="str">
            <v>un</v>
          </cell>
          <cell r="AI129">
            <v>4989.7807000000003</v>
          </cell>
        </row>
        <row r="130">
          <cell r="C130" t="str">
            <v>Código</v>
          </cell>
          <cell r="D130" t="str">
            <v>Quantidade</v>
          </cell>
          <cell r="E130" t="str">
            <v>Unidade</v>
          </cell>
          <cell r="F130" t="str">
            <v>Custo Unitário</v>
          </cell>
          <cell r="H130" t="str">
            <v>Custo Unitário</v>
          </cell>
          <cell r="R130" t="str">
            <v>E9205</v>
          </cell>
          <cell r="S130" t="str">
            <v>Equipamento de corte a plasma CNC - 12.000 x 5.500 mm - 19,5 kW</v>
          </cell>
          <cell r="T130">
            <v>820000</v>
          </cell>
          <cell r="U130">
            <v>65.599999999999994</v>
          </cell>
          <cell r="V130">
            <v>7.7489999999999997</v>
          </cell>
          <cell r="W130">
            <v>0</v>
          </cell>
          <cell r="X130">
            <v>49.2</v>
          </cell>
          <cell r="Y130">
            <v>0</v>
          </cell>
          <cell r="Z130">
            <v>0</v>
          </cell>
          <cell r="AA130">
            <v>122.54900000000001</v>
          </cell>
          <cell r="AB130">
            <v>73.349000000000004</v>
          </cell>
          <cell r="AF130" t="str">
            <v>M0146</v>
          </cell>
          <cell r="AG130" t="str">
            <v>Ancoragem ativa em ferro fundido nodular para 27 cordoalhas - D = 15,2 mm</v>
          </cell>
          <cell r="AH130" t="str">
            <v>un</v>
          </cell>
          <cell r="AI130">
            <v>6599.3257999999996</v>
          </cell>
        </row>
        <row r="131">
          <cell r="C131">
            <v>5914649</v>
          </cell>
          <cell r="D131">
            <v>1.02</v>
          </cell>
          <cell r="E131" t="str">
            <v>t</v>
          </cell>
          <cell r="G131">
            <v>6.66</v>
          </cell>
          <cell r="I131">
            <v>6.7932000000000006</v>
          </cell>
          <cell r="R131" t="str">
            <v>E9206</v>
          </cell>
          <cell r="S131" t="str">
            <v>Equipamento de solda MIG automática com acessórios - 14,6 kVA</v>
          </cell>
          <cell r="T131">
            <v>33449.799200000001</v>
          </cell>
          <cell r="U131">
            <v>2.6760000000000002</v>
          </cell>
          <cell r="V131">
            <v>0.31609999999999999</v>
          </cell>
          <cell r="W131">
            <v>0</v>
          </cell>
          <cell r="X131">
            <v>2.6760000000000002</v>
          </cell>
          <cell r="Y131">
            <v>0</v>
          </cell>
          <cell r="Z131">
            <v>0</v>
          </cell>
          <cell r="AA131">
            <v>5.6680999999999999</v>
          </cell>
          <cell r="AB131">
            <v>2.9921000000000002</v>
          </cell>
          <cell r="AF131" t="str">
            <v>M0147</v>
          </cell>
          <cell r="AG131" t="str">
            <v>Tubo PEAD com paredes estruturadas para drenagem - D = 2.000 mm</v>
          </cell>
          <cell r="AH131" t="str">
            <v>m</v>
          </cell>
          <cell r="AI131">
            <v>4841.1022000000003</v>
          </cell>
        </row>
        <row r="132">
          <cell r="C132" t="str">
            <v>Custo unitário total de tempo fixo</v>
          </cell>
          <cell r="R132" t="str">
            <v>E9207</v>
          </cell>
          <cell r="S132" t="str">
            <v>Máquina retificadora de solda elétrica 425 A - 18,7 kW</v>
          </cell>
          <cell r="T132">
            <v>3040.7154</v>
          </cell>
          <cell r="U132">
            <v>0.24329999999999999</v>
          </cell>
          <cell r="V132">
            <v>2.87E-2</v>
          </cell>
          <cell r="W132">
            <v>0</v>
          </cell>
          <cell r="X132">
            <v>0.24329999999999999</v>
          </cell>
          <cell r="Y132">
            <v>0</v>
          </cell>
          <cell r="Z132">
            <v>0</v>
          </cell>
          <cell r="AA132">
            <v>0.51529999999999998</v>
          </cell>
          <cell r="AB132">
            <v>0.27200000000000002</v>
          </cell>
          <cell r="AF132" t="str">
            <v>M0148</v>
          </cell>
          <cell r="AG132" t="str">
            <v>Ancoragem ativa para lajes 1 cordoalha - D = 12,7 mm</v>
          </cell>
          <cell r="AH132" t="str">
            <v>un</v>
          </cell>
          <cell r="AI132">
            <v>107.2415</v>
          </cell>
        </row>
        <row r="133">
          <cell r="C133" t="str">
            <v>Quantidade</v>
          </cell>
          <cell r="D133" t="str">
            <v>Unidade</v>
          </cell>
          <cell r="E133" t="str">
            <v>DMT</v>
          </cell>
          <cell r="I133" t="str">
            <v>Custo Unitário</v>
          </cell>
          <cell r="R133" t="str">
            <v>E9209</v>
          </cell>
          <cell r="S133" t="str">
            <v>Martelete perfurador/rompedor a ar comprimido de 25 kg para rocha com insalubridade</v>
          </cell>
          <cell r="T133">
            <v>15524.939200000001</v>
          </cell>
          <cell r="U133">
            <v>1.242</v>
          </cell>
          <cell r="V133">
            <v>0.1467</v>
          </cell>
          <cell r="W133">
            <v>0</v>
          </cell>
          <cell r="X133">
            <v>1.242</v>
          </cell>
          <cell r="Y133">
            <v>0</v>
          </cell>
          <cell r="Z133">
            <v>25.4939</v>
          </cell>
          <cell r="AA133">
            <v>28.124600000000001</v>
          </cell>
          <cell r="AB133">
            <v>26.8826</v>
          </cell>
          <cell r="AF133" t="str">
            <v>M0149</v>
          </cell>
          <cell r="AG133" t="str">
            <v>Tubo PEAD com paredes estruturadas para drenagem - D = 2.500 mm</v>
          </cell>
          <cell r="AH133" t="str">
            <v>m</v>
          </cell>
          <cell r="AI133">
            <v>7946.0801000000001</v>
          </cell>
        </row>
        <row r="134">
          <cell r="E134" t="str">
            <v>LN</v>
          </cell>
          <cell r="F134" t="str">
            <v>RP</v>
          </cell>
          <cell r="G134" t="str">
            <v>P</v>
          </cell>
          <cell r="R134" t="str">
            <v>E9213</v>
          </cell>
          <cell r="S134" t="str">
            <v>Jumbo eletro-hidráulico com 3 braços - 233 kW com periculosidade</v>
          </cell>
          <cell r="T134">
            <v>7419324.0640000002</v>
          </cell>
          <cell r="U134">
            <v>494.6216</v>
          </cell>
          <cell r="V134">
            <v>68.165000000000006</v>
          </cell>
          <cell r="W134">
            <v>0</v>
          </cell>
          <cell r="X134">
            <v>618.27700000000004</v>
          </cell>
          <cell r="Y134">
            <v>156.6739</v>
          </cell>
          <cell r="Z134">
            <v>44.428400000000003</v>
          </cell>
          <cell r="AA134">
            <v>1382.1659</v>
          </cell>
          <cell r="AB134">
            <v>607.21500000000003</v>
          </cell>
          <cell r="AF134" t="str">
            <v>M0150</v>
          </cell>
          <cell r="AG134" t="str">
            <v>Tubo PEAD com paredes estruturadas para drenagem - D = 3.000 mm</v>
          </cell>
          <cell r="AH134" t="str">
            <v>m</v>
          </cell>
          <cell r="AI134">
            <v>11080.6621</v>
          </cell>
        </row>
        <row r="135">
          <cell r="C135">
            <v>1.02</v>
          </cell>
          <cell r="D135" t="str">
            <v>tkm</v>
          </cell>
          <cell r="E135">
            <v>5914359</v>
          </cell>
          <cell r="F135">
            <v>5914374</v>
          </cell>
          <cell r="G135">
            <v>5914389</v>
          </cell>
          <cell r="R135" t="str">
            <v>E9251</v>
          </cell>
          <cell r="S135" t="str">
            <v>Fonte de plasma para corte manual - 65A - 15 kW</v>
          </cell>
          <cell r="T135">
            <v>20665.169300000001</v>
          </cell>
          <cell r="U135">
            <v>1.6532</v>
          </cell>
          <cell r="V135">
            <v>0.1953</v>
          </cell>
          <cell r="W135">
            <v>0</v>
          </cell>
          <cell r="X135">
            <v>1.6532</v>
          </cell>
          <cell r="Y135">
            <v>0</v>
          </cell>
          <cell r="Z135">
            <v>0</v>
          </cell>
          <cell r="AA135">
            <v>3.5017</v>
          </cell>
          <cell r="AB135">
            <v>1.8485</v>
          </cell>
          <cell r="AF135" t="str">
            <v>M0151</v>
          </cell>
          <cell r="AG135" t="str">
            <v>Ancoragem ativa para lajes 2 cordoalhas - D = 12,7mm</v>
          </cell>
          <cell r="AH135" t="str">
            <v>un</v>
          </cell>
          <cell r="AI135">
            <v>245.02500000000001</v>
          </cell>
        </row>
        <row r="136">
          <cell r="C136" t="str">
            <v>Custo unitário total de transporte</v>
          </cell>
          <cell r="R136" t="str">
            <v>E9252</v>
          </cell>
          <cell r="S136" t="str">
            <v>Serra de esquadria com braço telescópico - D = 10" - 1,8 kW</v>
          </cell>
          <cell r="T136">
            <v>2797.2485000000001</v>
          </cell>
          <cell r="U136">
            <v>0.25180000000000002</v>
          </cell>
          <cell r="V136">
            <v>2.64E-2</v>
          </cell>
          <cell r="W136">
            <v>0</v>
          </cell>
          <cell r="X136">
            <v>0.1399</v>
          </cell>
          <cell r="Y136">
            <v>0</v>
          </cell>
          <cell r="Z136">
            <v>0</v>
          </cell>
          <cell r="AA136">
            <v>0.41810000000000003</v>
          </cell>
          <cell r="AB136">
            <v>0.2782</v>
          </cell>
          <cell r="AF136" t="str">
            <v>M0152</v>
          </cell>
          <cell r="AG136" t="str">
            <v>Ancoragem ativa para lajes 3 cordoalhas - D = 12,7mm</v>
          </cell>
          <cell r="AH136" t="str">
            <v>un</v>
          </cell>
          <cell r="AI136">
            <v>489.9384</v>
          </cell>
        </row>
        <row r="137">
          <cell r="C137">
            <v>4011463</v>
          </cell>
          <cell r="D137" t="str">
            <v>t</v>
          </cell>
          <cell r="E137" t="str">
            <v>Custo unitário direto total</v>
          </cell>
          <cell r="I137">
            <v>279.65531733335939</v>
          </cell>
          <cell r="R137" t="str">
            <v>E9253</v>
          </cell>
          <cell r="S137" t="str">
            <v>Rebordeadeira diâmetro máximo 3m - 4,85 kW</v>
          </cell>
          <cell r="T137">
            <v>44741.949800000002</v>
          </cell>
          <cell r="U137">
            <v>1.7897000000000001</v>
          </cell>
          <cell r="V137">
            <v>0.3876</v>
          </cell>
          <cell r="W137">
            <v>0</v>
          </cell>
          <cell r="X137">
            <v>1.5660000000000001</v>
          </cell>
          <cell r="Y137">
            <v>0</v>
          </cell>
          <cell r="Z137">
            <v>0</v>
          </cell>
          <cell r="AA137">
            <v>3.7433000000000001</v>
          </cell>
          <cell r="AB137">
            <v>2.1772999999999998</v>
          </cell>
          <cell r="AF137" t="str">
            <v>M0153</v>
          </cell>
          <cell r="AG137" t="str">
            <v>Ancoragem ativa para lajes 4 cordoalhas - D = 12,7mm</v>
          </cell>
          <cell r="AH137" t="str">
            <v>un</v>
          </cell>
          <cell r="AI137">
            <v>535.97439999999995</v>
          </cell>
        </row>
        <row r="138">
          <cell r="R138" t="str">
            <v>E9254</v>
          </cell>
          <cell r="S138" t="str">
            <v>Dobradeira viradeira manual comprimento máximo de dobra de até 2.000 mm</v>
          </cell>
          <cell r="T138">
            <v>9574.1620000000003</v>
          </cell>
          <cell r="U138">
            <v>0.38300000000000001</v>
          </cell>
          <cell r="V138">
            <v>8.2900000000000001E-2</v>
          </cell>
          <cell r="W138">
            <v>0</v>
          </cell>
          <cell r="X138">
            <v>0.33510000000000001</v>
          </cell>
          <cell r="Y138">
            <v>0</v>
          </cell>
          <cell r="Z138">
            <v>0</v>
          </cell>
          <cell r="AA138">
            <v>0.80100000000000005</v>
          </cell>
          <cell r="AB138">
            <v>0.46589999999999998</v>
          </cell>
          <cell r="AF138" t="str">
            <v>M0155</v>
          </cell>
          <cell r="AG138" t="str">
            <v>Estolão vetiver para replantio</v>
          </cell>
          <cell r="AH138" t="str">
            <v>un</v>
          </cell>
          <cell r="AI138">
            <v>1.6406000000000001</v>
          </cell>
        </row>
        <row r="139">
          <cell r="R139" t="str">
            <v>E9255</v>
          </cell>
          <cell r="S139" t="str">
            <v>Fonte de plasma para corte manual - 45A - 10 kW</v>
          </cell>
          <cell r="T139">
            <v>14445.2857</v>
          </cell>
          <cell r="U139">
            <v>1.1556</v>
          </cell>
          <cell r="V139">
            <v>0.13650000000000001</v>
          </cell>
          <cell r="W139">
            <v>0</v>
          </cell>
          <cell r="X139">
            <v>1.1556</v>
          </cell>
          <cell r="Y139">
            <v>0</v>
          </cell>
          <cell r="Z139">
            <v>0</v>
          </cell>
          <cell r="AA139">
            <v>2.4477000000000002</v>
          </cell>
          <cell r="AB139">
            <v>1.2921</v>
          </cell>
          <cell r="AF139" t="str">
            <v>M0156</v>
          </cell>
          <cell r="AG139" t="str">
            <v>Bloco de concreto de 19 x 19 x 39 cm</v>
          </cell>
          <cell r="AH139" t="str">
            <v>un</v>
          </cell>
          <cell r="AI139">
            <v>2.1153</v>
          </cell>
        </row>
        <row r="140">
          <cell r="I140" t="str">
            <v>DNIT</v>
          </cell>
          <cell r="R140" t="str">
            <v>E9500</v>
          </cell>
          <cell r="S140" t="str">
            <v>Vagão gôndola com capacidade de 100 t</v>
          </cell>
          <cell r="T140">
            <v>265000</v>
          </cell>
          <cell r="U140">
            <v>6.625</v>
          </cell>
          <cell r="V140">
            <v>2.1911999999999998</v>
          </cell>
          <cell r="W140">
            <v>0</v>
          </cell>
          <cell r="X140">
            <v>3.3125</v>
          </cell>
          <cell r="Y140">
            <v>0</v>
          </cell>
          <cell r="Z140">
            <v>0</v>
          </cell>
          <cell r="AA140">
            <v>12.1287</v>
          </cell>
          <cell r="AB140">
            <v>8.8162000000000003</v>
          </cell>
          <cell r="AF140" t="str">
            <v>M0157</v>
          </cell>
          <cell r="AG140" t="str">
            <v>Bloco de concreto celular</v>
          </cell>
          <cell r="AH140" t="str">
            <v>m³</v>
          </cell>
          <cell r="AI140">
            <v>592.59469999999999</v>
          </cell>
        </row>
        <row r="141">
          <cell r="R141" t="str">
            <v>E9501</v>
          </cell>
          <cell r="S141" t="str">
            <v>Ventilador axial para ventilação forçada - 30 kW</v>
          </cell>
          <cell r="T141">
            <v>268067.7255</v>
          </cell>
          <cell r="U141">
            <v>24.126100000000001</v>
          </cell>
          <cell r="V141">
            <v>2.5331999999999999</v>
          </cell>
          <cell r="W141">
            <v>0</v>
          </cell>
          <cell r="X141">
            <v>16.084099999999999</v>
          </cell>
          <cell r="Y141">
            <v>0</v>
          </cell>
          <cell r="Z141">
            <v>0</v>
          </cell>
          <cell r="AA141">
            <v>42.743400000000001</v>
          </cell>
          <cell r="AB141">
            <v>26.659300000000002</v>
          </cell>
          <cell r="AF141" t="str">
            <v>M0158</v>
          </cell>
          <cell r="AG141" t="str">
            <v>Tela metálica galvanizada dobrada em L, com tensores de 40 x 40 x 200 cm e consumo de 5,8 kg aço/m²</v>
          </cell>
          <cell r="AH141" t="str">
            <v>un</v>
          </cell>
          <cell r="AI141">
            <v>147.94390000000001</v>
          </cell>
        </row>
        <row r="142">
          <cell r="D142" t="str">
            <v>Outubro/2019</v>
          </cell>
          <cell r="G142" t="str">
            <v>Produção da equipe</v>
          </cell>
          <cell r="H142">
            <v>74.7</v>
          </cell>
          <cell r="I142" t="str">
            <v>m</v>
          </cell>
          <cell r="R142" t="str">
            <v>E9502</v>
          </cell>
          <cell r="S142" t="str">
            <v>Bate-estaca de gravidade para 3,5 a 4,0 t - 119 kW</v>
          </cell>
          <cell r="T142">
            <v>961473.99459999998</v>
          </cell>
          <cell r="U142">
            <v>54.941400000000002</v>
          </cell>
          <cell r="V142">
            <v>8.6532999999999998</v>
          </cell>
          <cell r="W142">
            <v>0</v>
          </cell>
          <cell r="X142">
            <v>41.206000000000003</v>
          </cell>
          <cell r="Y142">
            <v>49.5349</v>
          </cell>
          <cell r="Z142">
            <v>27.014800000000001</v>
          </cell>
          <cell r="AA142">
            <v>181.35040000000001</v>
          </cell>
          <cell r="AB142">
            <v>90.609499999999997</v>
          </cell>
          <cell r="AF142" t="str">
            <v>M0160</v>
          </cell>
          <cell r="AG142" t="str">
            <v>Extintor espuma mecânica 10 l</v>
          </cell>
          <cell r="AH142" t="str">
            <v>un</v>
          </cell>
          <cell r="AI142">
            <v>446.15499999999997</v>
          </cell>
        </row>
        <row r="143">
          <cell r="H143" t="str">
            <v>Valores em reais (R$)</v>
          </cell>
          <cell r="R143" t="str">
            <v>E9503</v>
          </cell>
          <cell r="S143" t="str">
            <v>Guilhotina hidráulica 16 x 6.100 mm - 40 CV</v>
          </cell>
          <cell r="T143">
            <v>797526.04929999996</v>
          </cell>
          <cell r="U143">
            <v>31.901</v>
          </cell>
          <cell r="V143">
            <v>6.9085999999999999</v>
          </cell>
          <cell r="W143">
            <v>0</v>
          </cell>
          <cell r="X143">
            <v>27.913399999999999</v>
          </cell>
          <cell r="Y143">
            <v>0</v>
          </cell>
          <cell r="Z143">
            <v>21.640999999999998</v>
          </cell>
          <cell r="AA143">
            <v>88.364000000000004</v>
          </cell>
          <cell r="AB143">
            <v>60.450600000000001</v>
          </cell>
          <cell r="AF143" t="str">
            <v>M0161</v>
          </cell>
          <cell r="AG143" t="str">
            <v>Vergalhão de fibra de vidro de 25 mm</v>
          </cell>
          <cell r="AH143" t="str">
            <v>m</v>
          </cell>
          <cell r="AI143">
            <v>31.347200000000001</v>
          </cell>
        </row>
        <row r="144">
          <cell r="C144" t="str">
            <v>Quantidade</v>
          </cell>
          <cell r="D144" t="str">
            <v>Utilização</v>
          </cell>
          <cell r="F144" t="str">
            <v>Custo Horário</v>
          </cell>
          <cell r="I144" t="str">
            <v>Custo</v>
          </cell>
          <cell r="R144" t="str">
            <v>E9505</v>
          </cell>
          <cell r="S144" t="str">
            <v>Prensa dobradeira capacidade 320 t - comprimento até 3.100 mm - 30 kW</v>
          </cell>
          <cell r="T144">
            <v>435674.19819999998</v>
          </cell>
          <cell r="U144">
            <v>17.427</v>
          </cell>
          <cell r="V144">
            <v>3.774</v>
          </cell>
          <cell r="W144">
            <v>0</v>
          </cell>
          <cell r="X144">
            <v>15.2486</v>
          </cell>
          <cell r="Y144">
            <v>0</v>
          </cell>
          <cell r="Z144">
            <v>21.640999999999998</v>
          </cell>
          <cell r="AA144">
            <v>58.090600000000002</v>
          </cell>
          <cell r="AB144">
            <v>42.841999999999999</v>
          </cell>
          <cell r="AF144" t="str">
            <v>M0162</v>
          </cell>
          <cell r="AG144" t="str">
            <v>Corrente de elos de aço galvanizado 1/8" de diâmetro</v>
          </cell>
          <cell r="AH144" t="str">
            <v>m</v>
          </cell>
          <cell r="AI144">
            <v>5.4358000000000004</v>
          </cell>
        </row>
        <row r="145">
          <cell r="D145" t="str">
            <v>Operativa</v>
          </cell>
          <cell r="E145" t="str">
            <v>Improdutiva</v>
          </cell>
          <cell r="F145" t="str">
            <v>Produtivo</v>
          </cell>
          <cell r="G145" t="str">
            <v>Improdutivo</v>
          </cell>
          <cell r="I145" t="str">
            <v>Horário Total</v>
          </cell>
          <cell r="R145" t="str">
            <v>E9507</v>
          </cell>
          <cell r="S145" t="str">
            <v>Computador, plotter de recorte e software</v>
          </cell>
          <cell r="T145">
            <v>32302.799800000001</v>
          </cell>
          <cell r="U145">
            <v>4.8453999999999997</v>
          </cell>
          <cell r="V145">
            <v>0.3392</v>
          </cell>
          <cell r="W145">
            <v>0</v>
          </cell>
          <cell r="X145">
            <v>3.2303000000000002</v>
          </cell>
          <cell r="Y145">
            <v>0</v>
          </cell>
          <cell r="Z145">
            <v>0</v>
          </cell>
          <cell r="AA145">
            <v>8.4148999999999994</v>
          </cell>
          <cell r="AB145">
            <v>5.1845999999999997</v>
          </cell>
          <cell r="AF145" t="str">
            <v>M0163</v>
          </cell>
          <cell r="AG145" t="str">
            <v>Gonzo com aba de 1/2" em aço galvanizado</v>
          </cell>
          <cell r="AH145" t="str">
            <v>un</v>
          </cell>
          <cell r="AI145">
            <v>0.85</v>
          </cell>
        </row>
        <row r="146">
          <cell r="C146">
            <v>1</v>
          </cell>
          <cell r="D146">
            <v>0.21</v>
          </cell>
          <cell r="E146">
            <v>0.79</v>
          </cell>
          <cell r="F146">
            <v>150.82040000000001</v>
          </cell>
          <cell r="G146">
            <v>45.980899999999998</v>
          </cell>
          <cell r="I146">
            <v>67.997195000000005</v>
          </cell>
          <cell r="R146" t="str">
            <v>E9510</v>
          </cell>
          <cell r="S146" t="str">
            <v>Ventilador centrífugo baixa pressão com capacidade de 58 m³/min - 3,68 kW</v>
          </cell>
          <cell r="T146">
            <v>9441.3044000000009</v>
          </cell>
          <cell r="U146">
            <v>0.84970000000000001</v>
          </cell>
          <cell r="V146">
            <v>8.9200000000000002E-2</v>
          </cell>
          <cell r="W146">
            <v>0</v>
          </cell>
          <cell r="X146">
            <v>0.5665</v>
          </cell>
          <cell r="Y146">
            <v>0</v>
          </cell>
          <cell r="Z146">
            <v>0</v>
          </cell>
          <cell r="AA146">
            <v>1.5054000000000001</v>
          </cell>
          <cell r="AB146">
            <v>0.93889999999999996</v>
          </cell>
          <cell r="AF146" t="str">
            <v>M0164</v>
          </cell>
          <cell r="AG146" t="str">
            <v>Tubo galvanizado perfil quadrado 20 x 20 mm, espessura 1/16"</v>
          </cell>
          <cell r="AH146" t="str">
            <v>m</v>
          </cell>
          <cell r="AI146">
            <v>8.5</v>
          </cell>
        </row>
        <row r="147">
          <cell r="C147">
            <v>1</v>
          </cell>
          <cell r="D147">
            <v>1</v>
          </cell>
          <cell r="E147">
            <v>0</v>
          </cell>
          <cell r="F147">
            <v>15.377599999999999</v>
          </cell>
          <cell r="G147">
            <v>3.8386999999999998</v>
          </cell>
          <cell r="I147">
            <v>15.377599999999999</v>
          </cell>
          <cell r="R147" t="str">
            <v>E9511</v>
          </cell>
          <cell r="S147" t="str">
            <v>Carregadeira de pneus com capacidade de 3,3 m³ - 213 kW</v>
          </cell>
          <cell r="T147">
            <v>1005408.108</v>
          </cell>
          <cell r="U147">
            <v>70.378600000000006</v>
          </cell>
          <cell r="V147">
            <v>9.5010999999999992</v>
          </cell>
          <cell r="W147">
            <v>0</v>
          </cell>
          <cell r="X147">
            <v>70.378600000000006</v>
          </cell>
          <cell r="Y147">
            <v>54.562100000000001</v>
          </cell>
          <cell r="Z147">
            <v>27.014800000000001</v>
          </cell>
          <cell r="AA147">
            <v>231.83519999999999</v>
          </cell>
          <cell r="AB147">
            <v>106.89449999999999</v>
          </cell>
          <cell r="AF147" t="str">
            <v>M0165</v>
          </cell>
          <cell r="AG147" t="str">
            <v>Cantoneira em aço de abas iguais de 1" x 1/8"</v>
          </cell>
          <cell r="AH147" t="str">
            <v>m</v>
          </cell>
          <cell r="AI147">
            <v>5.9622000000000002</v>
          </cell>
        </row>
        <row r="148">
          <cell r="C148">
            <v>1</v>
          </cell>
          <cell r="D148">
            <v>1</v>
          </cell>
          <cell r="E148">
            <v>0</v>
          </cell>
          <cell r="F148">
            <v>15.3209</v>
          </cell>
          <cell r="G148">
            <v>1.0472999999999999</v>
          </cell>
          <cell r="I148">
            <v>15.3209</v>
          </cell>
          <cell r="R148" t="str">
            <v>E9512</v>
          </cell>
          <cell r="S148" t="str">
            <v>Veículo leve - 53 kW</v>
          </cell>
          <cell r="T148">
            <v>45481.959699999999</v>
          </cell>
          <cell r="U148">
            <v>2.7288999999999999</v>
          </cell>
          <cell r="V148">
            <v>0.42980000000000002</v>
          </cell>
          <cell r="W148">
            <v>0.34110000000000001</v>
          </cell>
          <cell r="X148">
            <v>2.7288999999999999</v>
          </cell>
          <cell r="Y148">
            <v>18.335899999999999</v>
          </cell>
          <cell r="Z148">
            <v>23.806899999999999</v>
          </cell>
          <cell r="AA148">
            <v>48.371499999999997</v>
          </cell>
          <cell r="AB148">
            <v>27.306699999999999</v>
          </cell>
          <cell r="AF148" t="str">
            <v>M0166</v>
          </cell>
          <cell r="AG148" t="str">
            <v>Tubo galvanizado perfil redondo, diâmetro 3/4", espessura 2,25 mm</v>
          </cell>
          <cell r="AH148" t="str">
            <v>m</v>
          </cell>
          <cell r="AI148">
            <v>11.6</v>
          </cell>
        </row>
        <row r="149">
          <cell r="G149" t="str">
            <v>Custo horário total de equipamentos</v>
          </cell>
          <cell r="I149">
            <v>98.695695000000001</v>
          </cell>
          <cell r="R149" t="str">
            <v>E9513</v>
          </cell>
          <cell r="S149" t="str">
            <v>Compressor de ar portátil de 340 PCM - 81 kW</v>
          </cell>
          <cell r="T149">
            <v>164803.03219999999</v>
          </cell>
          <cell r="U149">
            <v>10.9869</v>
          </cell>
          <cell r="V149">
            <v>1.5141</v>
          </cell>
          <cell r="W149">
            <v>0</v>
          </cell>
          <cell r="X149">
            <v>10.9869</v>
          </cell>
          <cell r="Y149">
            <v>44.091500000000003</v>
          </cell>
          <cell r="Z149">
            <v>0</v>
          </cell>
          <cell r="AA149">
            <v>67.579400000000007</v>
          </cell>
          <cell r="AB149">
            <v>12.500999999999999</v>
          </cell>
          <cell r="AF149" t="str">
            <v>M0167</v>
          </cell>
          <cell r="AG149" t="str">
            <v>Tela de nylon industrial, malha 1,6 mm, espessura de fio 0,40 mm</v>
          </cell>
          <cell r="AH149" t="str">
            <v>m²</v>
          </cell>
          <cell r="AI149">
            <v>8.6366999999999994</v>
          </cell>
        </row>
        <row r="150">
          <cell r="C150" t="str">
            <v>Quantidade</v>
          </cell>
          <cell r="D150" t="str">
            <v>Unidade</v>
          </cell>
          <cell r="E150" t="str">
            <v>Custo Horário</v>
          </cell>
          <cell r="G150" t="str">
            <v>Custo Horário Total</v>
          </cell>
          <cell r="R150" t="str">
            <v>E9514</v>
          </cell>
          <cell r="S150" t="str">
            <v>Distribuidor de agregados autopropelido - 130 kW</v>
          </cell>
          <cell r="T150">
            <v>561402.75269999995</v>
          </cell>
          <cell r="U150">
            <v>32.080199999999998</v>
          </cell>
          <cell r="V150">
            <v>5.0526</v>
          </cell>
          <cell r="W150">
            <v>0</v>
          </cell>
          <cell r="X150">
            <v>28.0701</v>
          </cell>
          <cell r="Y150">
            <v>79.089399999999998</v>
          </cell>
          <cell r="Z150">
            <v>27.014800000000001</v>
          </cell>
          <cell r="AA150">
            <v>171.30709999999999</v>
          </cell>
          <cell r="AB150">
            <v>64.147599999999997</v>
          </cell>
          <cell r="AF150" t="str">
            <v>M0168</v>
          </cell>
          <cell r="AG150" t="str">
            <v>Abraçadeira em nylon espessura 3,6 x 200 mm</v>
          </cell>
          <cell r="AH150" t="str">
            <v>un</v>
          </cell>
          <cell r="AI150">
            <v>0.1366</v>
          </cell>
        </row>
        <row r="151">
          <cell r="C151">
            <v>4</v>
          </cell>
          <cell r="D151" t="str">
            <v>h</v>
          </cell>
          <cell r="F151">
            <v>19.378599999999999</v>
          </cell>
          <cell r="I151">
            <v>77.514399999999995</v>
          </cell>
          <cell r="R151" t="str">
            <v>E9515</v>
          </cell>
          <cell r="S151" t="str">
            <v>Escavadeira hidráulica sobre esteira com caçamba com capacidade de 1,5 m³ - 110 kW</v>
          </cell>
          <cell r="T151">
            <v>762545.93460000004</v>
          </cell>
          <cell r="U151">
            <v>53.3782</v>
          </cell>
          <cell r="V151">
            <v>7.2061000000000002</v>
          </cell>
          <cell r="W151">
            <v>0</v>
          </cell>
          <cell r="X151">
            <v>53.3782</v>
          </cell>
          <cell r="Y151">
            <v>45.788600000000002</v>
          </cell>
          <cell r="Z151">
            <v>27.014800000000001</v>
          </cell>
          <cell r="AA151">
            <v>186.76589999999999</v>
          </cell>
          <cell r="AB151">
            <v>87.599100000000007</v>
          </cell>
          <cell r="AF151" t="str">
            <v>M0169</v>
          </cell>
          <cell r="AG151" t="str">
            <v>Roda em aço para carrinho de mão, com pneu 3.25/8 e câmara de ar</v>
          </cell>
          <cell r="AH151" t="str">
            <v>un</v>
          </cell>
          <cell r="AI151">
            <v>65.323300000000003</v>
          </cell>
        </row>
        <row r="152">
          <cell r="C152" t="str">
            <v>Custo horário total de mão de obra</v>
          </cell>
          <cell r="H152">
            <v>77.514399999999995</v>
          </cell>
          <cell r="R152" t="str">
            <v>E9516</v>
          </cell>
          <cell r="S152" t="str">
            <v>Perfuratriz hidráulica sobre esteiras - 300 kW</v>
          </cell>
          <cell r="T152">
            <v>3902338.0729999999</v>
          </cell>
          <cell r="U152">
            <v>260.15589999999997</v>
          </cell>
          <cell r="V152">
            <v>35.852699999999999</v>
          </cell>
          <cell r="W152">
            <v>0</v>
          </cell>
          <cell r="X152">
            <v>260.15589999999997</v>
          </cell>
          <cell r="Y152">
            <v>96.06</v>
          </cell>
          <cell r="Z152">
            <v>27.014800000000001</v>
          </cell>
          <cell r="AA152">
            <v>679.23929999999996</v>
          </cell>
          <cell r="AB152">
            <v>323.02339999999998</v>
          </cell>
          <cell r="AF152" t="str">
            <v>M0173</v>
          </cell>
          <cell r="AG152" t="str">
            <v>Ancoragem ativa para lajes 1 cordoalha - D = 15,2 mm</v>
          </cell>
          <cell r="AH152" t="str">
            <v>un</v>
          </cell>
          <cell r="AI152">
            <v>137.9152</v>
          </cell>
        </row>
        <row r="153">
          <cell r="C153" t="str">
            <v>Custo horário total de execução</v>
          </cell>
          <cell r="I153">
            <v>176.210095</v>
          </cell>
          <cell r="R153" t="str">
            <v>E9517</v>
          </cell>
          <cell r="S153" t="str">
            <v>Compressor de ar portátil de 912 PCM - 242 kW</v>
          </cell>
          <cell r="T153">
            <v>380424.46370000002</v>
          </cell>
          <cell r="U153">
            <v>25.361599999999999</v>
          </cell>
          <cell r="V153">
            <v>3.4950999999999999</v>
          </cell>
          <cell r="W153">
            <v>0</v>
          </cell>
          <cell r="X153">
            <v>25.361599999999999</v>
          </cell>
          <cell r="Y153">
            <v>131.7303</v>
          </cell>
          <cell r="Z153">
            <v>0</v>
          </cell>
          <cell r="AA153">
            <v>185.9486</v>
          </cell>
          <cell r="AB153">
            <v>28.8567</v>
          </cell>
          <cell r="AF153" t="str">
            <v>M0178</v>
          </cell>
          <cell r="AG153" t="str">
            <v>Ancoragem ativa para lajes 2 cordoalhas - D = 15,2 mm</v>
          </cell>
          <cell r="AH153" t="str">
            <v>un</v>
          </cell>
          <cell r="AI153">
            <v>321.65370000000001</v>
          </cell>
        </row>
        <row r="154">
          <cell r="C154" t="str">
            <v>Custo unitário de execução</v>
          </cell>
          <cell r="I154">
            <v>2.3589035475234268</v>
          </cell>
          <cell r="R154" t="str">
            <v>E9518</v>
          </cell>
          <cell r="S154" t="str">
            <v>Grade de 24 discos rebocável de 24"</v>
          </cell>
          <cell r="T154">
            <v>20565.3151</v>
          </cell>
          <cell r="U154">
            <v>1.3221000000000001</v>
          </cell>
          <cell r="V154">
            <v>0.18509999999999999</v>
          </cell>
          <cell r="W154">
            <v>0</v>
          </cell>
          <cell r="X154">
            <v>0.73450000000000004</v>
          </cell>
          <cell r="Y154">
            <v>0</v>
          </cell>
          <cell r="Z154">
            <v>0</v>
          </cell>
          <cell r="AA154">
            <v>2.2416999999999998</v>
          </cell>
          <cell r="AB154">
            <v>1.5072000000000001</v>
          </cell>
          <cell r="AF154" t="str">
            <v>M0181</v>
          </cell>
          <cell r="AG154" t="str">
            <v>Ancoragem ativa para lajes 3 cordoalhas - D = 15,2 mm</v>
          </cell>
          <cell r="AH154" t="str">
            <v>un</v>
          </cell>
          <cell r="AI154">
            <v>612.55240000000003</v>
          </cell>
        </row>
        <row r="155">
          <cell r="G155" t="str">
            <v>Custo do FIC</v>
          </cell>
          <cell r="R155" t="str">
            <v>E9519</v>
          </cell>
          <cell r="S155" t="str">
            <v>Betoneira com motor a gasolina com capacidade de 600 l - 10 kW</v>
          </cell>
          <cell r="T155">
            <v>15421.341200000001</v>
          </cell>
          <cell r="U155">
            <v>1.2337</v>
          </cell>
          <cell r="V155">
            <v>0.1457</v>
          </cell>
          <cell r="W155">
            <v>0</v>
          </cell>
          <cell r="X155">
            <v>0.92530000000000001</v>
          </cell>
          <cell r="Y155">
            <v>13.454000000000001</v>
          </cell>
          <cell r="Z155">
            <v>21.640999999999998</v>
          </cell>
          <cell r="AA155">
            <v>37.399700000000003</v>
          </cell>
          <cell r="AB155">
            <v>23.020399999999999</v>
          </cell>
          <cell r="AF155" t="str">
            <v>M0184</v>
          </cell>
          <cell r="AG155" t="str">
            <v>Ancoragem ativa para lajes 4 cordoalhas - D = 15,2 mm</v>
          </cell>
          <cell r="AH155" t="str">
            <v>un</v>
          </cell>
          <cell r="AI155">
            <v>658.51739999999995</v>
          </cell>
        </row>
        <row r="156">
          <cell r="G156" t="str">
            <v>Custo do FIT</v>
          </cell>
          <cell r="R156" t="str">
            <v>E9521</v>
          </cell>
          <cell r="S156" t="str">
            <v>Grupo gerador - 2,5/3 kVA</v>
          </cell>
          <cell r="T156">
            <v>2485.5079999999998</v>
          </cell>
          <cell r="U156">
            <v>0.12429999999999999</v>
          </cell>
          <cell r="V156">
            <v>2.24E-2</v>
          </cell>
          <cell r="W156">
            <v>0</v>
          </cell>
          <cell r="X156">
            <v>8.8800000000000004E-2</v>
          </cell>
          <cell r="Y156">
            <v>2.3986999999999998</v>
          </cell>
          <cell r="Z156">
            <v>0</v>
          </cell>
          <cell r="AA156">
            <v>2.6341999999999999</v>
          </cell>
          <cell r="AB156">
            <v>0.1467</v>
          </cell>
          <cell r="AF156" t="str">
            <v>M0191</v>
          </cell>
          <cell r="AG156" t="str">
            <v>Brita 1</v>
          </cell>
          <cell r="AH156" t="str">
            <v>m³</v>
          </cell>
          <cell r="AI156">
            <v>63.738799999999998</v>
          </cell>
        </row>
        <row r="157">
          <cell r="C157" t="str">
            <v>Quantidade</v>
          </cell>
          <cell r="D157" t="str">
            <v>Unidade</v>
          </cell>
          <cell r="E157" t="str">
            <v>Preço Unitário</v>
          </cell>
          <cell r="G157" t="str">
            <v>Custo Unitário</v>
          </cell>
          <cell r="R157" t="str">
            <v>E9522</v>
          </cell>
          <cell r="S157" t="str">
            <v>Caldeira de asfalto rebocável com capacidade de 1.500 l - 6,5 kW</v>
          </cell>
          <cell r="T157">
            <v>90609.051800000001</v>
          </cell>
          <cell r="U157">
            <v>5.8249000000000004</v>
          </cell>
          <cell r="V157">
            <v>0.8155</v>
          </cell>
          <cell r="W157">
            <v>0</v>
          </cell>
          <cell r="X157">
            <v>1.9416</v>
          </cell>
          <cell r="Y157">
            <v>2.9138000000000002</v>
          </cell>
          <cell r="Z157">
            <v>0</v>
          </cell>
          <cell r="AA157">
            <v>11.495799999999999</v>
          </cell>
          <cell r="AB157">
            <v>6.6403999999999996</v>
          </cell>
          <cell r="AF157" t="str">
            <v>M0192</v>
          </cell>
          <cell r="AG157" t="str">
            <v>Brita 2</v>
          </cell>
          <cell r="AH157" t="str">
            <v>m³</v>
          </cell>
          <cell r="AI157">
            <v>61.357900000000001</v>
          </cell>
        </row>
        <row r="158">
          <cell r="C158">
            <v>1</v>
          </cell>
          <cell r="D158" t="str">
            <v>m</v>
          </cell>
          <cell r="F158">
            <v>0.12239999999999999</v>
          </cell>
          <cell r="I158">
            <v>0.12239999999999999</v>
          </cell>
          <cell r="R158" t="str">
            <v>E9523</v>
          </cell>
          <cell r="S158" t="str">
            <v>Motoscraper - 304 kW</v>
          </cell>
          <cell r="T158">
            <v>4316258.6320000002</v>
          </cell>
          <cell r="U158">
            <v>203.1181</v>
          </cell>
          <cell r="V158">
            <v>37.989400000000003</v>
          </cell>
          <cell r="W158">
            <v>0</v>
          </cell>
          <cell r="X158">
            <v>228.5078</v>
          </cell>
          <cell r="Y158">
            <v>155.74529999999999</v>
          </cell>
          <cell r="Z158">
            <v>27.014800000000001</v>
          </cell>
          <cell r="AA158">
            <v>652.37540000000001</v>
          </cell>
          <cell r="AB158">
            <v>268.1223</v>
          </cell>
          <cell r="AF158" t="str">
            <v>M0193</v>
          </cell>
          <cell r="AG158" t="str">
            <v>Brita 3</v>
          </cell>
          <cell r="AH158" t="str">
            <v>m³</v>
          </cell>
          <cell r="AI158">
            <v>59.677500000000002</v>
          </cell>
        </row>
        <row r="159">
          <cell r="C159">
            <v>3.3300000000000001E-3</v>
          </cell>
          <cell r="D159" t="str">
            <v>un</v>
          </cell>
          <cell r="F159">
            <v>222.06030000000001</v>
          </cell>
          <cell r="I159">
            <v>0.73946079900000006</v>
          </cell>
          <cell r="R159" t="str">
            <v>E9524</v>
          </cell>
          <cell r="S159" t="str">
            <v>Motoniveladora - 93 kW</v>
          </cell>
          <cell r="T159">
            <v>700257.91410000005</v>
          </cell>
          <cell r="U159">
            <v>35.012900000000002</v>
          </cell>
          <cell r="V159">
            <v>6.3022999999999998</v>
          </cell>
          <cell r="W159">
            <v>0</v>
          </cell>
          <cell r="X159">
            <v>45.016599999999997</v>
          </cell>
          <cell r="Y159">
            <v>44.667900000000003</v>
          </cell>
          <cell r="Z159">
            <v>27.014800000000001</v>
          </cell>
          <cell r="AA159">
            <v>158.0145</v>
          </cell>
          <cell r="AB159">
            <v>68.33</v>
          </cell>
          <cell r="AF159" t="str">
            <v>M0194</v>
          </cell>
          <cell r="AG159" t="str">
            <v>Escória de aciaria</v>
          </cell>
          <cell r="AH159" t="str">
            <v>m³</v>
          </cell>
          <cell r="AI159">
            <v>14.670299999999999</v>
          </cell>
        </row>
        <row r="160">
          <cell r="C160">
            <v>0.11811000000000001</v>
          </cell>
          <cell r="D160" t="str">
            <v>kg</v>
          </cell>
          <cell r="F160">
            <v>66.262</v>
          </cell>
          <cell r="I160">
            <v>7.8262048200000001</v>
          </cell>
          <cell r="R160" t="str">
            <v>E9525</v>
          </cell>
          <cell r="S160" t="str">
            <v>Ponte rolante capacidade 15 t - vão até 15 m - com acessórios - 20 kW</v>
          </cell>
          <cell r="T160">
            <v>643325.30000000005</v>
          </cell>
          <cell r="U160">
            <v>25.733000000000001</v>
          </cell>
          <cell r="V160">
            <v>5.5728</v>
          </cell>
          <cell r="W160">
            <v>0</v>
          </cell>
          <cell r="X160">
            <v>16.083100000000002</v>
          </cell>
          <cell r="Y160">
            <v>0</v>
          </cell>
          <cell r="Z160">
            <v>43.281999999999996</v>
          </cell>
          <cell r="AA160">
            <v>90.670900000000003</v>
          </cell>
          <cell r="AB160">
            <v>74.587800000000001</v>
          </cell>
          <cell r="AF160" t="str">
            <v>M0198</v>
          </cell>
          <cell r="AG160" t="str">
            <v>Parafuso com bucha plástica S8</v>
          </cell>
          <cell r="AH160" t="str">
            <v>un</v>
          </cell>
          <cell r="AI160">
            <v>0.27450000000000002</v>
          </cell>
        </row>
        <row r="161">
          <cell r="C161" t="str">
            <v>Custo unitário total de material</v>
          </cell>
          <cell r="I161">
            <v>8.6880656189999996</v>
          </cell>
          <cell r="R161" t="str">
            <v>E9526</v>
          </cell>
          <cell r="S161" t="str">
            <v>Retroescavadeira de pneus - 58 kW</v>
          </cell>
          <cell r="T161">
            <v>236735.16620000001</v>
          </cell>
          <cell r="U161">
            <v>16.5715</v>
          </cell>
          <cell r="V161">
            <v>2.2370999999999999</v>
          </cell>
          <cell r="W161">
            <v>0</v>
          </cell>
          <cell r="X161">
            <v>16.5715</v>
          </cell>
          <cell r="Y161">
            <v>24.1431</v>
          </cell>
          <cell r="Z161">
            <v>27.014800000000001</v>
          </cell>
          <cell r="AA161">
            <v>86.537999999999997</v>
          </cell>
          <cell r="AB161">
            <v>45.823399999999999</v>
          </cell>
          <cell r="AF161" t="str">
            <v>M0200</v>
          </cell>
          <cell r="AG161" t="str">
            <v>Explosivo tipo emulsão bombeada</v>
          </cell>
          <cell r="AH161" t="str">
            <v>kg</v>
          </cell>
          <cell r="AI161">
            <v>4.9199000000000002</v>
          </cell>
        </row>
        <row r="162">
          <cell r="C162" t="str">
            <v>Quantidade</v>
          </cell>
          <cell r="D162" t="str">
            <v>Unidade</v>
          </cell>
          <cell r="E162" t="str">
            <v>Custo Unitário</v>
          </cell>
          <cell r="G162" t="str">
            <v>Custo Unitário</v>
          </cell>
          <cell r="R162" t="str">
            <v>E9527</v>
          </cell>
          <cell r="S162" t="str">
            <v>Martelete perfurador/rompedor a ar comprimido de 25 kg para rocha</v>
          </cell>
          <cell r="T162">
            <v>15524.939200000001</v>
          </cell>
          <cell r="U162">
            <v>1.242</v>
          </cell>
          <cell r="V162">
            <v>0.1467</v>
          </cell>
          <cell r="W162">
            <v>0</v>
          </cell>
          <cell r="X162">
            <v>1.242</v>
          </cell>
          <cell r="Y162">
            <v>0</v>
          </cell>
          <cell r="Z162">
            <v>21.640999999999998</v>
          </cell>
          <cell r="AA162">
            <v>24.271699999999999</v>
          </cell>
          <cell r="AB162">
            <v>23.029699999999998</v>
          </cell>
          <cell r="AF162" t="str">
            <v>M0201</v>
          </cell>
          <cell r="AG162" t="str">
            <v>Coroa para jumbo hidráulico T38 - D = 3 1/2"</v>
          </cell>
          <cell r="AH162" t="str">
            <v>un</v>
          </cell>
          <cell r="AI162">
            <v>1077.1061</v>
          </cell>
        </row>
        <row r="163">
          <cell r="C163" t="str">
            <v>Custo total de atividades auxiliares</v>
          </cell>
          <cell r="R163" t="str">
            <v>E9528</v>
          </cell>
          <cell r="S163" t="str">
            <v>Empilhadeira a diesel com capacidade de 4 t - 60 kW</v>
          </cell>
          <cell r="T163">
            <v>237045.42490000001</v>
          </cell>
          <cell r="U163">
            <v>18.9636</v>
          </cell>
          <cell r="V163">
            <v>2.2401</v>
          </cell>
          <cell r="W163">
            <v>0</v>
          </cell>
          <cell r="X163">
            <v>16.5932</v>
          </cell>
          <cell r="Y163">
            <v>28.818000000000001</v>
          </cell>
          <cell r="Z163">
            <v>21.640999999999998</v>
          </cell>
          <cell r="AA163">
            <v>88.255899999999997</v>
          </cell>
          <cell r="AB163">
            <v>42.844700000000003</v>
          </cell>
          <cell r="AF163" t="str">
            <v>M0202</v>
          </cell>
          <cell r="AG163" t="str">
            <v>Bit de botão ST 68 - D = 76 mm</v>
          </cell>
          <cell r="AH163" t="str">
            <v>un</v>
          </cell>
          <cell r="AI163">
            <v>547.90189999999996</v>
          </cell>
        </row>
        <row r="164">
          <cell r="G164" t="str">
            <v>Subtotal</v>
          </cell>
          <cell r="R164" t="str">
            <v>E9529</v>
          </cell>
          <cell r="S164" t="str">
            <v>Jateadora com mesa transportadora de rolos de 3.200 x 600 x 1.300 mm - 22 kW</v>
          </cell>
          <cell r="T164">
            <v>2271699.577</v>
          </cell>
          <cell r="U164">
            <v>151.44659999999999</v>
          </cell>
          <cell r="V164">
            <v>20.871200000000002</v>
          </cell>
          <cell r="W164">
            <v>0</v>
          </cell>
          <cell r="X164">
            <v>113.58499999999999</v>
          </cell>
          <cell r="Y164">
            <v>0</v>
          </cell>
          <cell r="Z164">
            <v>21.640999999999998</v>
          </cell>
          <cell r="AA164">
            <v>307.54379999999998</v>
          </cell>
          <cell r="AB164">
            <v>193.9588</v>
          </cell>
          <cell r="AF164" t="str">
            <v>M0204</v>
          </cell>
          <cell r="AG164" t="str">
            <v>Instalações físicas para a central de pré-moldagem de dormentes de concreto protendido</v>
          </cell>
          <cell r="AH164" t="str">
            <v>CMCC</v>
          </cell>
          <cell r="AI164">
            <v>1284.44</v>
          </cell>
        </row>
        <row r="165">
          <cell r="C165" t="str">
            <v>Código</v>
          </cell>
          <cell r="D165" t="str">
            <v>Quantidade</v>
          </cell>
          <cell r="E165" t="str">
            <v>Unidade</v>
          </cell>
          <cell r="F165" t="str">
            <v>Custo Unitário</v>
          </cell>
          <cell r="H165" t="str">
            <v>Custo Unitário</v>
          </cell>
          <cell r="R165" t="str">
            <v>E9530</v>
          </cell>
          <cell r="S165" t="str">
            <v>Rolo compactador liso autopropelido vibratório de 11 t - 97 kW</v>
          </cell>
          <cell r="T165">
            <v>393555.11589999998</v>
          </cell>
          <cell r="U165">
            <v>26.236999999999998</v>
          </cell>
          <cell r="V165">
            <v>3.6158000000000001</v>
          </cell>
          <cell r="W165">
            <v>0</v>
          </cell>
          <cell r="X165">
            <v>26.236999999999998</v>
          </cell>
          <cell r="Y165">
            <v>49.695</v>
          </cell>
          <cell r="Z165">
            <v>27.014800000000001</v>
          </cell>
          <cell r="AA165">
            <v>132.7996</v>
          </cell>
          <cell r="AB165">
            <v>56.867600000000003</v>
          </cell>
          <cell r="AF165" t="str">
            <v>M0217</v>
          </cell>
          <cell r="AG165" t="str">
            <v>Enxofre</v>
          </cell>
          <cell r="AH165" t="str">
            <v>kg</v>
          </cell>
          <cell r="AI165">
            <v>1.4725999999999999</v>
          </cell>
        </row>
        <row r="166">
          <cell r="C166">
            <v>5915474</v>
          </cell>
          <cell r="D166">
            <v>1.2E-4</v>
          </cell>
          <cell r="E166" t="str">
            <v>t</v>
          </cell>
          <cell r="G166">
            <v>17.66</v>
          </cell>
          <cell r="I166">
            <v>2.1191999999999999E-3</v>
          </cell>
          <cell r="R166" t="str">
            <v>E9532</v>
          </cell>
          <cell r="S166" t="str">
            <v>Equipamento de solda MIG com acessórios - 14,6 kVA</v>
          </cell>
          <cell r="T166">
            <v>33449.799200000001</v>
          </cell>
          <cell r="U166">
            <v>2.6760000000000002</v>
          </cell>
          <cell r="V166">
            <v>0.31609999999999999</v>
          </cell>
          <cell r="W166">
            <v>0</v>
          </cell>
          <cell r="X166">
            <v>2.6760000000000002</v>
          </cell>
          <cell r="Y166">
            <v>0</v>
          </cell>
          <cell r="Z166">
            <v>0</v>
          </cell>
          <cell r="AA166">
            <v>5.6680999999999999</v>
          </cell>
          <cell r="AB166">
            <v>2.9921000000000002</v>
          </cell>
          <cell r="AF166" t="str">
            <v>M0218</v>
          </cell>
          <cell r="AG166" t="str">
            <v>Adubo fósforo (30%)</v>
          </cell>
          <cell r="AH166" t="str">
            <v>kg</v>
          </cell>
          <cell r="AI166">
            <v>1.18</v>
          </cell>
        </row>
        <row r="167">
          <cell r="C167" t="str">
            <v>Custo unitário total de tempo fixo</v>
          </cell>
          <cell r="I167">
            <v>2.1191999999999999E-3</v>
          </cell>
          <cell r="R167" t="str">
            <v>E9535</v>
          </cell>
          <cell r="S167" t="str">
            <v>Serra circular com bancada - D = 30 cm - 4 kW</v>
          </cell>
          <cell r="T167">
            <v>3326.6377000000002</v>
          </cell>
          <cell r="U167">
            <v>0.2994</v>
          </cell>
          <cell r="V167">
            <v>3.1399999999999997E-2</v>
          </cell>
          <cell r="W167">
            <v>0</v>
          </cell>
          <cell r="X167">
            <v>0.1663</v>
          </cell>
          <cell r="Y167">
            <v>0</v>
          </cell>
          <cell r="Z167">
            <v>21.640999999999998</v>
          </cell>
          <cell r="AA167">
            <v>22.138100000000001</v>
          </cell>
          <cell r="AB167">
            <v>21.971800000000002</v>
          </cell>
          <cell r="AF167" t="str">
            <v>M0219</v>
          </cell>
          <cell r="AG167" t="str">
            <v>Adubo potássio</v>
          </cell>
          <cell r="AH167" t="str">
            <v>kg</v>
          </cell>
          <cell r="AI167">
            <v>1.46</v>
          </cell>
        </row>
        <row r="168">
          <cell r="C168" t="str">
            <v>Quantidade</v>
          </cell>
          <cell r="D168" t="str">
            <v>Unidade</v>
          </cell>
          <cell r="E168" t="str">
            <v>DMT</v>
          </cell>
          <cell r="I168" t="str">
            <v>Custo Unitário</v>
          </cell>
          <cell r="R168" t="str">
            <v>E9536</v>
          </cell>
          <cell r="S168" t="str">
            <v>Embarcação de apoio - 40 HP</v>
          </cell>
          <cell r="T168">
            <v>34275.921399999999</v>
          </cell>
          <cell r="U168">
            <v>0.53559999999999997</v>
          </cell>
          <cell r="V168">
            <v>0.1031</v>
          </cell>
          <cell r="W168">
            <v>0</v>
          </cell>
          <cell r="X168">
            <v>0.59509999999999996</v>
          </cell>
          <cell r="Y168">
            <v>46.128</v>
          </cell>
          <cell r="Z168">
            <v>28.914300000000001</v>
          </cell>
          <cell r="AA168">
            <v>76.2761</v>
          </cell>
          <cell r="AB168">
            <v>29.553000000000001</v>
          </cell>
          <cell r="AF168" t="str">
            <v>M0220</v>
          </cell>
          <cell r="AG168" t="str">
            <v>Adubo NPK</v>
          </cell>
          <cell r="AH168" t="str">
            <v>kg</v>
          </cell>
          <cell r="AI168">
            <v>1.1941999999999999</v>
          </cell>
        </row>
        <row r="169">
          <cell r="E169" t="str">
            <v>LN</v>
          </cell>
          <cell r="F169" t="str">
            <v>RP</v>
          </cell>
          <cell r="G169" t="str">
            <v>P</v>
          </cell>
          <cell r="R169" t="str">
            <v>E9537</v>
          </cell>
          <cell r="S169" t="str">
            <v>Carregadeira de pneus com capacidade de 1,72 m³ - 113 kW</v>
          </cell>
          <cell r="T169">
            <v>371767.01610000001</v>
          </cell>
          <cell r="U169">
            <v>26.023700000000002</v>
          </cell>
          <cell r="V169">
            <v>3.5131999999999999</v>
          </cell>
          <cell r="W169">
            <v>0</v>
          </cell>
          <cell r="X169">
            <v>26.023700000000002</v>
          </cell>
          <cell r="Y169">
            <v>28.946100000000001</v>
          </cell>
          <cell r="Z169">
            <v>27.014800000000001</v>
          </cell>
          <cell r="AA169">
            <v>111.5215</v>
          </cell>
          <cell r="AB169">
            <v>56.551699999999997</v>
          </cell>
          <cell r="AF169" t="str">
            <v>M0222</v>
          </cell>
          <cell r="AG169" t="str">
            <v>Filler calcário</v>
          </cell>
          <cell r="AH169" t="str">
            <v>kg</v>
          </cell>
          <cell r="AI169">
            <v>0.15609999999999999</v>
          </cell>
        </row>
        <row r="170">
          <cell r="C170">
            <v>1.2E-4</v>
          </cell>
          <cell r="D170" t="str">
            <v>tkm</v>
          </cell>
          <cell r="E170">
            <v>5915322</v>
          </cell>
          <cell r="F170">
            <v>5915323</v>
          </cell>
          <cell r="G170">
            <v>5915324</v>
          </cell>
          <cell r="R170" t="str">
            <v>E9538</v>
          </cell>
          <cell r="S170" t="str">
            <v>Conjunto vibratório para meio tubo de concreto com encaixe PB e 3 jogos de fôrmas - D = 30 cm - 2,2 kW</v>
          </cell>
          <cell r="T170">
            <v>13123.745699999999</v>
          </cell>
          <cell r="U170">
            <v>1.7498</v>
          </cell>
          <cell r="V170">
            <v>0.20669999999999999</v>
          </cell>
          <cell r="W170">
            <v>0</v>
          </cell>
          <cell r="X170">
            <v>1.3124</v>
          </cell>
          <cell r="Y170">
            <v>0</v>
          </cell>
          <cell r="Z170">
            <v>0</v>
          </cell>
          <cell r="AA170">
            <v>3.2688999999999999</v>
          </cell>
          <cell r="AB170">
            <v>1.9564999999999999</v>
          </cell>
          <cell r="AF170" t="str">
            <v>M0223</v>
          </cell>
          <cell r="AG170" t="str">
            <v>Sementes para hidrossemeadura</v>
          </cell>
          <cell r="AH170" t="str">
            <v>kg</v>
          </cell>
          <cell r="AI170">
            <v>16.899999999999999</v>
          </cell>
        </row>
        <row r="171">
          <cell r="C171" t="str">
            <v>Custo unitário total de transporte</v>
          </cell>
          <cell r="R171" t="str">
            <v>E9539</v>
          </cell>
          <cell r="S171" t="str">
            <v>Equipamento de batimetria monofeixe</v>
          </cell>
          <cell r="T171">
            <v>129400</v>
          </cell>
          <cell r="U171">
            <v>8.3186</v>
          </cell>
          <cell r="V171">
            <v>1.1646000000000001</v>
          </cell>
          <cell r="W171">
            <v>0</v>
          </cell>
          <cell r="X171">
            <v>4.6214000000000004</v>
          </cell>
          <cell r="Y171">
            <v>0</v>
          </cell>
          <cell r="Z171">
            <v>22.014099999999999</v>
          </cell>
          <cell r="AA171">
            <v>36.118699999999997</v>
          </cell>
          <cell r="AB171">
            <v>31.497299999999999</v>
          </cell>
          <cell r="AF171" t="str">
            <v>M0224</v>
          </cell>
          <cell r="AG171" t="str">
            <v>Guia-chapéu pré-moldada - C = 140 cm</v>
          </cell>
          <cell r="AH171" t="str">
            <v>un</v>
          </cell>
          <cell r="AI171">
            <v>110.88</v>
          </cell>
        </row>
        <row r="172">
          <cell r="C172">
            <v>4915694</v>
          </cell>
          <cell r="D172" t="str">
            <v>m</v>
          </cell>
          <cell r="E172" t="str">
            <v>Custo unitário direto total</v>
          </cell>
          <cell r="I172">
            <v>11.049088366523426</v>
          </cell>
          <cell r="R172" t="str">
            <v>E9540</v>
          </cell>
          <cell r="S172" t="str">
            <v>Trator de esteiras com lâmina - 112 kW</v>
          </cell>
          <cell r="T172">
            <v>852903.35880000005</v>
          </cell>
          <cell r="U172">
            <v>33.168500000000002</v>
          </cell>
          <cell r="V172">
            <v>7.4629000000000003</v>
          </cell>
          <cell r="W172">
            <v>0</v>
          </cell>
          <cell r="X172">
            <v>47.383499999999998</v>
          </cell>
          <cell r="Y172">
            <v>50.2074</v>
          </cell>
          <cell r="Z172">
            <v>27.014800000000001</v>
          </cell>
          <cell r="AA172">
            <v>165.2371</v>
          </cell>
          <cell r="AB172">
            <v>67.646199999999993</v>
          </cell>
          <cell r="AF172" t="str">
            <v>M0225</v>
          </cell>
          <cell r="AG172" t="str">
            <v>Adubo orgânico</v>
          </cell>
          <cell r="AH172" t="str">
            <v>kg</v>
          </cell>
          <cell r="AI172">
            <v>0.23230000000000001</v>
          </cell>
        </row>
        <row r="173">
          <cell r="R173" t="str">
            <v>E9541</v>
          </cell>
          <cell r="S173" t="str">
            <v>Trator de esteiras com lâmina - 259 kW</v>
          </cell>
          <cell r="T173">
            <v>2350588.8280000002</v>
          </cell>
          <cell r="U173">
            <v>91.411799999999999</v>
          </cell>
          <cell r="V173">
            <v>20.567699999999999</v>
          </cell>
          <cell r="W173">
            <v>0</v>
          </cell>
          <cell r="X173">
            <v>130.5883</v>
          </cell>
          <cell r="Y173">
            <v>116.1045</v>
          </cell>
          <cell r="Z173">
            <v>27.014800000000001</v>
          </cell>
          <cell r="AA173">
            <v>385.68709999999999</v>
          </cell>
          <cell r="AB173">
            <v>138.99430000000001</v>
          </cell>
          <cell r="AF173" t="str">
            <v>M0229</v>
          </cell>
          <cell r="AG173" t="str">
            <v>Gabião colchão Zn/Al + polímero - E = 0,17 m e D = 2,00 mm</v>
          </cell>
          <cell r="AH173" t="str">
            <v>m²</v>
          </cell>
          <cell r="AI173">
            <v>132.1268</v>
          </cell>
        </row>
        <row r="174">
          <cell r="R174" t="str">
            <v>E9544</v>
          </cell>
          <cell r="S174" t="str">
            <v>Vassoura mecânica rebocável</v>
          </cell>
          <cell r="T174">
            <v>35155.851999999999</v>
          </cell>
          <cell r="U174">
            <v>3.1640000000000001</v>
          </cell>
          <cell r="V174">
            <v>0.3322</v>
          </cell>
          <cell r="W174">
            <v>0</v>
          </cell>
          <cell r="X174">
            <v>2.1093999999999999</v>
          </cell>
          <cell r="Y174">
            <v>0</v>
          </cell>
          <cell r="Z174">
            <v>0</v>
          </cell>
          <cell r="AA174">
            <v>5.6055999999999999</v>
          </cell>
          <cell r="AB174">
            <v>3.4962</v>
          </cell>
          <cell r="AF174" t="str">
            <v>M0230</v>
          </cell>
          <cell r="AG174" t="str">
            <v>Gabião caixa Zn/Al de 2,0 x 1,0 x 0,50 m</v>
          </cell>
          <cell r="AH174" t="str">
            <v>un</v>
          </cell>
          <cell r="AI174">
            <v>289.1062</v>
          </cell>
        </row>
        <row r="175">
          <cell r="I175" t="str">
            <v>DNIT</v>
          </cell>
          <cell r="R175" t="str">
            <v>E9545</v>
          </cell>
          <cell r="S175" t="str">
            <v>Vibroacabadora de asfalto sobre esteiras - 82 kW</v>
          </cell>
          <cell r="T175">
            <v>681157.56449999998</v>
          </cell>
          <cell r="U175">
            <v>34.057899999999997</v>
          </cell>
          <cell r="V175">
            <v>6.1303999999999998</v>
          </cell>
          <cell r="W175">
            <v>0</v>
          </cell>
          <cell r="X175">
            <v>43.788699999999999</v>
          </cell>
          <cell r="Y175">
            <v>49.8872</v>
          </cell>
          <cell r="Z175">
            <v>35.442</v>
          </cell>
          <cell r="AA175">
            <v>169.30619999999999</v>
          </cell>
          <cell r="AB175">
            <v>75.630300000000005</v>
          </cell>
          <cell r="AF175" t="str">
            <v>M0231</v>
          </cell>
          <cell r="AG175" t="str">
            <v>Gabião caixa Zn/Al de 2,0 x 1,0 x 1,00 m</v>
          </cell>
          <cell r="AH175" t="str">
            <v>un</v>
          </cell>
          <cell r="AI175">
            <v>498.82260000000002</v>
          </cell>
        </row>
        <row r="176">
          <cell r="R176" t="str">
            <v>E9547</v>
          </cell>
          <cell r="S176" t="str">
            <v>Máquina para solda elétrica - 9,2 kW</v>
          </cell>
          <cell r="T176">
            <v>461.06920000000002</v>
          </cell>
          <cell r="U176">
            <v>3.6900000000000002E-2</v>
          </cell>
          <cell r="V176">
            <v>4.4000000000000003E-3</v>
          </cell>
          <cell r="W176">
            <v>0</v>
          </cell>
          <cell r="X176">
            <v>3.6900000000000002E-2</v>
          </cell>
          <cell r="Y176">
            <v>0</v>
          </cell>
          <cell r="Z176">
            <v>0</v>
          </cell>
          <cell r="AA176">
            <v>7.8200000000000006E-2</v>
          </cell>
          <cell r="AB176">
            <v>4.1300000000000003E-2</v>
          </cell>
          <cell r="AF176" t="str">
            <v>M0232</v>
          </cell>
          <cell r="AG176" t="str">
            <v>Gabião caixa Zn/Al + polímero de 2,0 x 1,0 x 0,50 m</v>
          </cell>
          <cell r="AH176" t="str">
            <v>un</v>
          </cell>
          <cell r="AI176">
            <v>363.27929999999998</v>
          </cell>
        </row>
        <row r="177">
          <cell r="D177" t="str">
            <v>Outubro/2019</v>
          </cell>
          <cell r="G177" t="str">
            <v>Produção da equipe</v>
          </cell>
          <cell r="H177">
            <v>373.5</v>
          </cell>
          <cell r="I177" t="str">
            <v>tkm</v>
          </cell>
          <cell r="R177" t="str">
            <v>E9548</v>
          </cell>
          <cell r="S177" t="str">
            <v>Bomba centrífuga com capacidade de 8,6 a 22 m³/h - 1,5 kW</v>
          </cell>
          <cell r="T177">
            <v>1050.1185</v>
          </cell>
          <cell r="U177">
            <v>8.4000000000000005E-2</v>
          </cell>
          <cell r="V177">
            <v>9.9000000000000008E-3</v>
          </cell>
          <cell r="W177">
            <v>0</v>
          </cell>
          <cell r="X177">
            <v>7.3499999999999996E-2</v>
          </cell>
          <cell r="Y177">
            <v>0</v>
          </cell>
          <cell r="Z177">
            <v>0</v>
          </cell>
          <cell r="AA177">
            <v>0.16739999999999999</v>
          </cell>
          <cell r="AB177">
            <v>9.3899999999999997E-2</v>
          </cell>
          <cell r="AF177" t="str">
            <v>M0233</v>
          </cell>
          <cell r="AG177" t="str">
            <v>Gabião caixa Zn/Al + polímero de 2,0 x 1,0 x 1,00 m</v>
          </cell>
          <cell r="AH177" t="str">
            <v>un</v>
          </cell>
          <cell r="AI177">
            <v>508.05880000000002</v>
          </cell>
        </row>
        <row r="178">
          <cell r="H178" t="str">
            <v>Valores em reais (R$)</v>
          </cell>
          <cell r="R178" t="str">
            <v>E9551</v>
          </cell>
          <cell r="S178" t="str">
            <v>Obturador mecânico simples com extensão de 12 m</v>
          </cell>
          <cell r="T178">
            <v>6184</v>
          </cell>
          <cell r="U178">
            <v>0.55659999999999998</v>
          </cell>
          <cell r="V178">
            <v>5.8400000000000001E-2</v>
          </cell>
          <cell r="W178">
            <v>0</v>
          </cell>
          <cell r="X178">
            <v>0.30919999999999997</v>
          </cell>
          <cell r="Y178">
            <v>0</v>
          </cell>
          <cell r="Z178">
            <v>0</v>
          </cell>
          <cell r="AA178">
            <v>0.92420000000000002</v>
          </cell>
          <cell r="AB178">
            <v>0.61499999999999999</v>
          </cell>
          <cell r="AF178" t="str">
            <v>M0234</v>
          </cell>
          <cell r="AG178" t="str">
            <v>Gabião saco Zn/Al + polímero - D = 0,65 m</v>
          </cell>
          <cell r="AH178" t="str">
            <v>m³</v>
          </cell>
          <cell r="AI178">
            <v>364.81729999999999</v>
          </cell>
        </row>
        <row r="179">
          <cell r="C179" t="str">
            <v>Quantidade</v>
          </cell>
          <cell r="D179" t="str">
            <v>Utilização</v>
          </cell>
          <cell r="F179" t="str">
            <v>Custo Horário</v>
          </cell>
          <cell r="I179" t="str">
            <v>Custo</v>
          </cell>
          <cell r="R179" t="str">
            <v>E9552</v>
          </cell>
          <cell r="S179" t="str">
            <v>Nível ótico</v>
          </cell>
          <cell r="T179">
            <v>8926.9164000000001</v>
          </cell>
          <cell r="U179">
            <v>0.71419999999999995</v>
          </cell>
          <cell r="V179">
            <v>8.4400000000000003E-2</v>
          </cell>
          <cell r="W179">
            <v>0</v>
          </cell>
          <cell r="X179">
            <v>0.44629999999999997</v>
          </cell>
          <cell r="Y179">
            <v>0</v>
          </cell>
          <cell r="Z179">
            <v>0</v>
          </cell>
          <cell r="AA179">
            <v>1.2448999999999999</v>
          </cell>
          <cell r="AB179">
            <v>0.79859999999999998</v>
          </cell>
          <cell r="AF179" t="str">
            <v>M0235</v>
          </cell>
          <cell r="AG179" t="str">
            <v>Gabião colchão Zn/Al + polímero - E = 0,23 m e D = 2,00 mm</v>
          </cell>
          <cell r="AH179" t="str">
            <v>m²</v>
          </cell>
          <cell r="AI179">
            <v>142.49279999999999</v>
          </cell>
        </row>
        <row r="180">
          <cell r="D180" t="str">
            <v>Operativa</v>
          </cell>
          <cell r="E180" t="str">
            <v>Improdutiva</v>
          </cell>
          <cell r="F180" t="str">
            <v>Produtivo</v>
          </cell>
          <cell r="G180" t="str">
            <v>Improdutivo</v>
          </cell>
          <cell r="I180" t="str">
            <v>Horário Total</v>
          </cell>
          <cell r="R180" t="str">
            <v>E9553</v>
          </cell>
          <cell r="S180" t="str">
            <v>Estação total eletrônica com precisão angular de 2", linear de 2 mm e alcance com 1 prisma de 3.000 m</v>
          </cell>
          <cell r="T180">
            <v>21966.6332</v>
          </cell>
          <cell r="U180">
            <v>1.9770000000000001</v>
          </cell>
          <cell r="V180">
            <v>0.20760000000000001</v>
          </cell>
          <cell r="W180">
            <v>0</v>
          </cell>
          <cell r="X180">
            <v>1.0983000000000001</v>
          </cell>
          <cell r="Y180">
            <v>0</v>
          </cell>
          <cell r="Z180">
            <v>0</v>
          </cell>
          <cell r="AA180">
            <v>3.2829000000000002</v>
          </cell>
          <cell r="AB180">
            <v>2.1846000000000001</v>
          </cell>
          <cell r="AF180" t="str">
            <v>M0236</v>
          </cell>
          <cell r="AG180" t="str">
            <v>Gabião colchão Zn/Al + polímero - E = 0,30 m e D = 2,00 mm</v>
          </cell>
          <cell r="AH180" t="str">
            <v>m²</v>
          </cell>
          <cell r="AI180">
            <v>156.0943</v>
          </cell>
        </row>
        <row r="181">
          <cell r="C181">
            <v>1</v>
          </cell>
          <cell r="D181">
            <v>1</v>
          </cell>
          <cell r="E181">
            <v>0</v>
          </cell>
          <cell r="F181">
            <v>156.64580000000001</v>
          </cell>
          <cell r="G181">
            <v>47.721499999999999</v>
          </cell>
          <cell r="I181">
            <v>156.64580000000001</v>
          </cell>
          <cell r="R181" t="str">
            <v>E9556</v>
          </cell>
          <cell r="S181" t="str">
            <v>Compactador manual de placa vibratória - 3 kW</v>
          </cell>
          <cell r="T181">
            <v>6762.6953999999996</v>
          </cell>
          <cell r="U181">
            <v>0.45079999999999998</v>
          </cell>
          <cell r="V181">
            <v>6.2100000000000002E-2</v>
          </cell>
          <cell r="W181">
            <v>0</v>
          </cell>
          <cell r="X181">
            <v>0.45079999999999998</v>
          </cell>
          <cell r="Y181">
            <v>4.0362</v>
          </cell>
          <cell r="Z181">
            <v>0</v>
          </cell>
          <cell r="AA181">
            <v>4.9999000000000002</v>
          </cell>
          <cell r="AB181">
            <v>0.51290000000000002</v>
          </cell>
          <cell r="AF181" t="str">
            <v>M0237</v>
          </cell>
          <cell r="AG181" t="str">
            <v>Energia elétrica</v>
          </cell>
          <cell r="AH181" t="str">
            <v>kWh</v>
          </cell>
          <cell r="AI181">
            <v>0.71330000000000005</v>
          </cell>
        </row>
        <row r="182">
          <cell r="G182" t="str">
            <v>Custo horário total de equipamentos</v>
          </cell>
          <cell r="I182">
            <v>156.64580000000001</v>
          </cell>
          <cell r="R182" t="str">
            <v>E9558</v>
          </cell>
          <cell r="S182" t="str">
            <v>Tanque de estocagem de asfalto com capacidade de 30.000 l</v>
          </cell>
          <cell r="T182">
            <v>197397.90220000001</v>
          </cell>
          <cell r="U182">
            <v>8.2248999999999999</v>
          </cell>
          <cell r="V182">
            <v>1.4574</v>
          </cell>
          <cell r="W182">
            <v>0</v>
          </cell>
          <cell r="X182">
            <v>5.1406000000000001</v>
          </cell>
          <cell r="Y182">
            <v>0</v>
          </cell>
          <cell r="Z182">
            <v>0</v>
          </cell>
          <cell r="AA182">
            <v>14.822900000000001</v>
          </cell>
          <cell r="AB182">
            <v>9.6822999999999997</v>
          </cell>
          <cell r="AF182" t="str">
            <v>M0253</v>
          </cell>
          <cell r="AG182" t="str">
            <v>Cabo isolado PVC de 16 mm² - 750 V</v>
          </cell>
          <cell r="AH182" t="str">
            <v>m</v>
          </cell>
          <cell r="AI182">
            <v>6.23</v>
          </cell>
        </row>
        <row r="183">
          <cell r="C183" t="str">
            <v>Quantidade</v>
          </cell>
          <cell r="D183" t="str">
            <v>Unidade</v>
          </cell>
          <cell r="E183" t="str">
            <v>Custo Horário</v>
          </cell>
          <cell r="G183" t="str">
            <v>Custo Horário Total</v>
          </cell>
          <cell r="R183" t="str">
            <v>E9559</v>
          </cell>
          <cell r="S183" t="str">
            <v>Aquecedor de fluido térmico - 12 kW</v>
          </cell>
          <cell r="T183">
            <v>342880.61609999998</v>
          </cell>
          <cell r="U183">
            <v>15.429600000000001</v>
          </cell>
          <cell r="V183">
            <v>2.4302000000000001</v>
          </cell>
          <cell r="W183">
            <v>0</v>
          </cell>
          <cell r="X183">
            <v>10.2864</v>
          </cell>
          <cell r="Y183">
            <v>5.7636000000000003</v>
          </cell>
          <cell r="Z183">
            <v>0</v>
          </cell>
          <cell r="AA183">
            <v>33.909799999999997</v>
          </cell>
          <cell r="AB183">
            <v>17.8598</v>
          </cell>
          <cell r="AF183" t="str">
            <v>M0254</v>
          </cell>
          <cell r="AG183" t="str">
            <v>Gás argônio</v>
          </cell>
          <cell r="AH183" t="str">
            <v>m³</v>
          </cell>
          <cell r="AI183">
            <v>28.351400000000002</v>
          </cell>
        </row>
        <row r="184">
          <cell r="C184" t="str">
            <v>Custo horário total de mão de obra</v>
          </cell>
          <cell r="H184" t="str">
            <v>-</v>
          </cell>
          <cell r="R184" t="str">
            <v>E9560</v>
          </cell>
          <cell r="S184" t="str">
            <v>Ônibus com capacidade para 80 lugares - 175 kW</v>
          </cell>
          <cell r="T184">
            <v>515403.04560000001</v>
          </cell>
          <cell r="U184">
            <v>22.088699999999999</v>
          </cell>
          <cell r="V184">
            <v>4.6386000000000003</v>
          </cell>
          <cell r="W184">
            <v>3.6815000000000002</v>
          </cell>
          <cell r="X184">
            <v>33.133099999999999</v>
          </cell>
          <cell r="Y184">
            <v>106.4665</v>
          </cell>
          <cell r="Z184">
            <v>24.831199999999999</v>
          </cell>
          <cell r="AA184">
            <v>194.83959999999999</v>
          </cell>
          <cell r="AB184">
            <v>55.24</v>
          </cell>
          <cell r="AF184" t="str">
            <v>M0255</v>
          </cell>
          <cell r="AG184" t="str">
            <v>Gás CO2</v>
          </cell>
          <cell r="AH184" t="str">
            <v>kg</v>
          </cell>
          <cell r="AI184">
            <v>6.7465999999999999</v>
          </cell>
        </row>
        <row r="185">
          <cell r="C185" t="str">
            <v>Custo horário total de execução</v>
          </cell>
          <cell r="I185">
            <v>156.64580000000001</v>
          </cell>
          <cell r="R185" t="str">
            <v>E9561</v>
          </cell>
          <cell r="S185" t="str">
            <v>GPS geodésico de simples frequência (L1)</v>
          </cell>
          <cell r="T185">
            <v>25475.2971</v>
          </cell>
          <cell r="U185">
            <v>2.0379999999999998</v>
          </cell>
          <cell r="V185">
            <v>0.2407</v>
          </cell>
          <cell r="W185">
            <v>0</v>
          </cell>
          <cell r="X185">
            <v>1.2738</v>
          </cell>
          <cell r="Y185">
            <v>0</v>
          </cell>
          <cell r="Z185">
            <v>0</v>
          </cell>
          <cell r="AA185">
            <v>3.5525000000000002</v>
          </cell>
          <cell r="AB185">
            <v>2.2787000000000002</v>
          </cell>
          <cell r="AF185" t="str">
            <v>M0256</v>
          </cell>
          <cell r="AG185" t="str">
            <v>Tinta de fundo bicomponente à base de silicato</v>
          </cell>
          <cell r="AH185" t="str">
            <v>l</v>
          </cell>
          <cell r="AI185">
            <v>61.372399999999999</v>
          </cell>
        </row>
        <row r="186">
          <cell r="C186" t="str">
            <v>Custo unitário de execução</v>
          </cell>
          <cell r="I186">
            <v>0.41939973226238286</v>
          </cell>
          <cell r="R186" t="str">
            <v>E9562</v>
          </cell>
          <cell r="S186" t="str">
            <v>GPS geodésico de dupla frequência (L1/L2)</v>
          </cell>
          <cell r="T186">
            <v>41123.250800000002</v>
          </cell>
          <cell r="U186">
            <v>3.2898999999999998</v>
          </cell>
          <cell r="V186">
            <v>0.3886</v>
          </cell>
          <cell r="W186">
            <v>0</v>
          </cell>
          <cell r="X186">
            <v>2.0562</v>
          </cell>
          <cell r="Y186">
            <v>0</v>
          </cell>
          <cell r="Z186">
            <v>0</v>
          </cell>
          <cell r="AA186">
            <v>5.7347000000000001</v>
          </cell>
          <cell r="AB186">
            <v>3.6785000000000001</v>
          </cell>
          <cell r="AF186" t="str">
            <v>M0257</v>
          </cell>
          <cell r="AG186" t="str">
            <v>Diluente para tinta de fundo à base de silicato</v>
          </cell>
          <cell r="AH186" t="str">
            <v>l</v>
          </cell>
          <cell r="AI186">
            <v>16.183</v>
          </cell>
        </row>
        <row r="187">
          <cell r="G187" t="str">
            <v>Custo do FIC</v>
          </cell>
          <cell r="I187" t="str">
            <v>-</v>
          </cell>
          <cell r="R187" t="str">
            <v>E9563</v>
          </cell>
          <cell r="S187" t="str">
            <v>Perfuratriz hidráulica sobre esteiras com clamshell - 220 kW</v>
          </cell>
          <cell r="T187">
            <v>2482275.443</v>
          </cell>
          <cell r="U187">
            <v>165.48500000000001</v>
          </cell>
          <cell r="V187">
            <v>22.805900000000001</v>
          </cell>
          <cell r="W187">
            <v>0</v>
          </cell>
          <cell r="X187">
            <v>165.48500000000001</v>
          </cell>
          <cell r="Y187">
            <v>70.444000000000003</v>
          </cell>
          <cell r="Z187">
            <v>27.014800000000001</v>
          </cell>
          <cell r="AA187">
            <v>451.23469999999998</v>
          </cell>
          <cell r="AB187">
            <v>215.3057</v>
          </cell>
          <cell r="AF187" t="str">
            <v>M0260</v>
          </cell>
          <cell r="AG187" t="str">
            <v>Cabo paralelo de 3 x 1,5 mm²</v>
          </cell>
          <cell r="AH187" t="str">
            <v>m</v>
          </cell>
          <cell r="AI187">
            <v>1.9016</v>
          </cell>
        </row>
        <row r="188">
          <cell r="G188" t="str">
            <v>Custo do FIT</v>
          </cell>
          <cell r="I188" t="str">
            <v>-</v>
          </cell>
          <cell r="R188" t="str">
            <v>E9565</v>
          </cell>
          <cell r="S188" t="str">
            <v>Trator de esteiras com escarificador - 259 kW</v>
          </cell>
          <cell r="T188">
            <v>2364755.21</v>
          </cell>
          <cell r="U188">
            <v>91.962699999999998</v>
          </cell>
          <cell r="V188">
            <v>20.691600000000001</v>
          </cell>
          <cell r="W188">
            <v>0</v>
          </cell>
          <cell r="X188">
            <v>131.37530000000001</v>
          </cell>
          <cell r="Y188">
            <v>116.1045</v>
          </cell>
          <cell r="Z188">
            <v>27.014800000000001</v>
          </cell>
          <cell r="AA188">
            <v>387.14890000000003</v>
          </cell>
          <cell r="AB188">
            <v>139.66909999999999</v>
          </cell>
          <cell r="AF188" t="str">
            <v>M0264</v>
          </cell>
          <cell r="AG188" t="str">
            <v>Bomba de combustível para posto de abastecimento</v>
          </cell>
          <cell r="AH188" t="str">
            <v>un</v>
          </cell>
          <cell r="AI188">
            <v>17902.060000000001</v>
          </cell>
        </row>
        <row r="189">
          <cell r="C189" t="str">
            <v>Quantidade</v>
          </cell>
          <cell r="D189" t="str">
            <v>Unidade</v>
          </cell>
          <cell r="E189" t="str">
            <v>Preço Unitário</v>
          </cell>
          <cell r="G189" t="str">
            <v>Custo Unitário</v>
          </cell>
          <cell r="R189" t="str">
            <v>E9566</v>
          </cell>
          <cell r="S189" t="str">
            <v>Guindaste sobre esteiras com clamshell de 1,9 m³ - 220 kW</v>
          </cell>
          <cell r="T189">
            <v>2481376.821</v>
          </cell>
          <cell r="U189">
            <v>86.848200000000006</v>
          </cell>
          <cell r="V189">
            <v>21.494900000000001</v>
          </cell>
          <cell r="W189">
            <v>0</v>
          </cell>
          <cell r="X189">
            <v>124.0688</v>
          </cell>
          <cell r="Y189">
            <v>35.222000000000001</v>
          </cell>
          <cell r="Z189">
            <v>35.442</v>
          </cell>
          <cell r="AA189">
            <v>303.07589999999999</v>
          </cell>
          <cell r="AB189">
            <v>143.7851</v>
          </cell>
          <cell r="AF189" t="str">
            <v>M0265</v>
          </cell>
          <cell r="AG189" t="str">
            <v>Tanque de combustível aéreo horizontal de 5.000 l com escada para visita</v>
          </cell>
          <cell r="AH189" t="str">
            <v>un</v>
          </cell>
          <cell r="AI189">
            <v>12800</v>
          </cell>
        </row>
        <row r="190">
          <cell r="C190" t="str">
            <v>Custo unitário total de material</v>
          </cell>
          <cell r="R190" t="str">
            <v>E9567</v>
          </cell>
          <cell r="S190" t="str">
            <v>Fresadora de piso de concreto - 6,7 kW</v>
          </cell>
          <cell r="T190">
            <v>13176.5247</v>
          </cell>
          <cell r="U190">
            <v>1.0541</v>
          </cell>
          <cell r="V190">
            <v>0.1245</v>
          </cell>
          <cell r="W190">
            <v>0</v>
          </cell>
          <cell r="X190">
            <v>1.0541</v>
          </cell>
          <cell r="Y190">
            <v>9.0142000000000007</v>
          </cell>
          <cell r="Z190">
            <v>0</v>
          </cell>
          <cell r="AA190">
            <v>11.2469</v>
          </cell>
          <cell r="AB190">
            <v>1.1786000000000001</v>
          </cell>
          <cell r="AF190" t="str">
            <v>M0266</v>
          </cell>
          <cell r="AG190" t="str">
            <v>Cabo Sintenax de 240 mm² - 1 kV</v>
          </cell>
          <cell r="AH190" t="str">
            <v>m</v>
          </cell>
          <cell r="AI190">
            <v>85.801299999999998</v>
          </cell>
        </row>
        <row r="191">
          <cell r="C191" t="str">
            <v>Quantidade</v>
          </cell>
          <cell r="D191" t="str">
            <v>Unidade</v>
          </cell>
          <cell r="E191" t="str">
            <v>Custo Unitário</v>
          </cell>
          <cell r="G191" t="str">
            <v>Custo Unitário</v>
          </cell>
          <cell r="R191" t="str">
            <v>E9568</v>
          </cell>
          <cell r="S191" t="str">
            <v>Furadeira de impacto de 12,5 mm - 0,8 kW</v>
          </cell>
          <cell r="T191">
            <v>977.10389999999995</v>
          </cell>
          <cell r="U191">
            <v>7.8200000000000006E-2</v>
          </cell>
          <cell r="V191">
            <v>9.1999999999999998E-3</v>
          </cell>
          <cell r="W191">
            <v>0</v>
          </cell>
          <cell r="X191">
            <v>4.8899999999999999E-2</v>
          </cell>
          <cell r="Y191">
            <v>0</v>
          </cell>
          <cell r="Z191">
            <v>0</v>
          </cell>
          <cell r="AA191">
            <v>0.1363</v>
          </cell>
          <cell r="AB191">
            <v>8.7400000000000005E-2</v>
          </cell>
          <cell r="AF191" t="str">
            <v>M0269</v>
          </cell>
          <cell r="AG191" t="str">
            <v>Cabo Sintenax de 50 mm² - 1 kV</v>
          </cell>
          <cell r="AH191" t="str">
            <v>m</v>
          </cell>
          <cell r="AI191">
            <v>19.192399999999999</v>
          </cell>
        </row>
        <row r="192">
          <cell r="C192" t="str">
            <v>Custo total de atividades auxiliares</v>
          </cell>
          <cell r="R192" t="str">
            <v>E9569</v>
          </cell>
          <cell r="S192" t="str">
            <v>Guindaste sobre esteiras com clamshell de 4,6 m³ - 403 kW</v>
          </cell>
          <cell r="T192">
            <v>3863078.6660000002</v>
          </cell>
          <cell r="U192">
            <v>46.947099999999999</v>
          </cell>
          <cell r="V192">
            <v>11.619400000000001</v>
          </cell>
          <cell r="W192">
            <v>0</v>
          </cell>
          <cell r="X192">
            <v>67.067300000000003</v>
          </cell>
          <cell r="Y192">
            <v>64.520300000000006</v>
          </cell>
          <cell r="Z192">
            <v>70.884</v>
          </cell>
          <cell r="AA192">
            <v>261.03809999999999</v>
          </cell>
          <cell r="AB192">
            <v>129.45050000000001</v>
          </cell>
          <cell r="AF192" t="str">
            <v>M0284</v>
          </cell>
          <cell r="AG192" t="str">
            <v>Caibro de pinho de 7,5 x 7,5 cm</v>
          </cell>
          <cell r="AH192" t="str">
            <v>m</v>
          </cell>
          <cell r="AI192">
            <v>10.1272</v>
          </cell>
        </row>
        <row r="193">
          <cell r="G193" t="str">
            <v>Subtotal</v>
          </cell>
          <cell r="R193" t="str">
            <v>E9574</v>
          </cell>
          <cell r="S193" t="str">
            <v>Perfuratriz sobre esteiras - 145 kW</v>
          </cell>
          <cell r="T193">
            <v>1849310.9110000001</v>
          </cell>
          <cell r="U193">
            <v>123.28740000000001</v>
          </cell>
          <cell r="V193">
            <v>16.990500000000001</v>
          </cell>
          <cell r="W193">
            <v>0</v>
          </cell>
          <cell r="X193">
            <v>123.28740000000001</v>
          </cell>
          <cell r="Y193">
            <v>69.643500000000003</v>
          </cell>
          <cell r="Z193">
            <v>27.014800000000001</v>
          </cell>
          <cell r="AA193">
            <v>360.22359999999998</v>
          </cell>
          <cell r="AB193">
            <v>167.2927</v>
          </cell>
          <cell r="AF193" t="str">
            <v>M0285</v>
          </cell>
          <cell r="AG193" t="str">
            <v>Pontalete para escoramento - D = 15 cm</v>
          </cell>
          <cell r="AH193" t="str">
            <v>m</v>
          </cell>
          <cell r="AI193">
            <v>11.4285</v>
          </cell>
        </row>
        <row r="194">
          <cell r="C194" t="str">
            <v>Código</v>
          </cell>
          <cell r="D194" t="str">
            <v>Quantidade</v>
          </cell>
          <cell r="E194" t="str">
            <v>Unidade</v>
          </cell>
          <cell r="F194" t="str">
            <v>Custo Unitário</v>
          </cell>
          <cell r="H194" t="str">
            <v>Custo Unitário</v>
          </cell>
          <cell r="R194" t="str">
            <v>E9576</v>
          </cell>
          <cell r="S194" t="str">
            <v>Escavadeira hidráulica de longo alcance sobre esteiras - 103 kW</v>
          </cell>
          <cell r="T194">
            <v>649323.60820000002</v>
          </cell>
          <cell r="U194">
            <v>45.4527</v>
          </cell>
          <cell r="V194">
            <v>6.1360999999999999</v>
          </cell>
          <cell r="W194">
            <v>0</v>
          </cell>
          <cell r="X194">
            <v>45.4527</v>
          </cell>
          <cell r="Y194">
            <v>42.8748</v>
          </cell>
          <cell r="Z194">
            <v>27.014800000000001</v>
          </cell>
          <cell r="AA194">
            <v>166.93109999999999</v>
          </cell>
          <cell r="AB194">
            <v>78.6036</v>
          </cell>
          <cell r="AF194" t="str">
            <v>M0286</v>
          </cell>
          <cell r="AG194" t="str">
            <v>Tábua de 2,5 x 30 cm</v>
          </cell>
          <cell r="AH194" t="str">
            <v>m</v>
          </cell>
          <cell r="AI194">
            <v>11.99</v>
          </cell>
        </row>
        <row r="195">
          <cell r="C195" t="str">
            <v>Custo unitário total de tempo fixo</v>
          </cell>
          <cell r="R195" t="str">
            <v>E9577</v>
          </cell>
          <cell r="S195" t="str">
            <v>Trator agrícola - 77 kW</v>
          </cell>
          <cell r="T195">
            <v>154324.80850000001</v>
          </cell>
          <cell r="U195">
            <v>10.2883</v>
          </cell>
          <cell r="V195">
            <v>1.4178999999999999</v>
          </cell>
          <cell r="W195">
            <v>0</v>
          </cell>
          <cell r="X195">
            <v>9.0023</v>
          </cell>
          <cell r="Y195">
            <v>78.897300000000001</v>
          </cell>
          <cell r="Z195">
            <v>21.640999999999998</v>
          </cell>
          <cell r="AA195">
            <v>121.24679999999999</v>
          </cell>
          <cell r="AB195">
            <v>33.347200000000001</v>
          </cell>
          <cell r="AF195" t="str">
            <v>M0289</v>
          </cell>
          <cell r="AG195" t="str">
            <v>Tábua de 2,5 x 15 cm</v>
          </cell>
          <cell r="AH195" t="str">
            <v>m</v>
          </cell>
          <cell r="AI195">
            <v>3.7887</v>
          </cell>
        </row>
        <row r="196">
          <cell r="C196" t="str">
            <v>Quantidade</v>
          </cell>
          <cell r="D196" t="str">
            <v>Unidade</v>
          </cell>
          <cell r="E196" t="str">
            <v>DMT</v>
          </cell>
          <cell r="I196" t="str">
            <v>Custo Unitário</v>
          </cell>
          <cell r="R196" t="str">
            <v>E9578</v>
          </cell>
          <cell r="S196" t="str">
            <v>Conjunto vibratório para meio tubo de concreto com encaixe PB e 3 jogos de fôrmas - D = 40 cm - 2,2 kW</v>
          </cell>
          <cell r="T196">
            <v>13853.7291</v>
          </cell>
          <cell r="U196">
            <v>1.8472</v>
          </cell>
          <cell r="V196">
            <v>0.21820000000000001</v>
          </cell>
          <cell r="W196">
            <v>0</v>
          </cell>
          <cell r="X196">
            <v>1.3854</v>
          </cell>
          <cell r="Y196">
            <v>0</v>
          </cell>
          <cell r="Z196">
            <v>0</v>
          </cell>
          <cell r="AA196">
            <v>3.4508000000000001</v>
          </cell>
          <cell r="AB196">
            <v>2.0653999999999999</v>
          </cell>
          <cell r="AF196" t="str">
            <v>M0290</v>
          </cell>
          <cell r="AG196" t="str">
            <v>Tábua de 2,5 x 10 cm</v>
          </cell>
          <cell r="AH196" t="str">
            <v>m</v>
          </cell>
          <cell r="AI196">
            <v>3.7656000000000001</v>
          </cell>
        </row>
        <row r="197">
          <cell r="E197" t="str">
            <v>LN</v>
          </cell>
          <cell r="F197" t="str">
            <v>RP</v>
          </cell>
          <cell r="G197" t="str">
            <v>P</v>
          </cell>
          <cell r="R197" t="str">
            <v>E9580</v>
          </cell>
          <cell r="S197" t="str">
            <v>Distribuidora/fresadora com controle de greide - 287 kW</v>
          </cell>
          <cell r="T197">
            <v>2008538.564</v>
          </cell>
          <cell r="U197">
            <v>117.1647</v>
          </cell>
          <cell r="V197">
            <v>18.453399999999998</v>
          </cell>
          <cell r="W197">
            <v>0</v>
          </cell>
          <cell r="X197">
            <v>167.37819999999999</v>
          </cell>
          <cell r="Y197">
            <v>165.4153</v>
          </cell>
          <cell r="Z197">
            <v>35.442</v>
          </cell>
          <cell r="AA197">
            <v>503.85359999999997</v>
          </cell>
          <cell r="AB197">
            <v>171.06010000000001</v>
          </cell>
          <cell r="AF197" t="str">
            <v>M0301</v>
          </cell>
          <cell r="AG197" t="str">
            <v>Pontalete para escoramento - D = 10 cm</v>
          </cell>
          <cell r="AH197" t="str">
            <v>m</v>
          </cell>
          <cell r="AI197">
            <v>10.426399999999999</v>
          </cell>
        </row>
        <row r="198">
          <cell r="C198" t="str">
            <v>Custo unitário total de transporte</v>
          </cell>
          <cell r="I198" t="str">
            <v>-</v>
          </cell>
          <cell r="R198" t="str">
            <v>E9582</v>
          </cell>
          <cell r="S198" t="str">
            <v>Carregadeira de pneus com capacidade de 2,9 m³ - 96 kW</v>
          </cell>
          <cell r="T198">
            <v>468798.3922</v>
          </cell>
          <cell r="U198">
            <v>32.815899999999999</v>
          </cell>
          <cell r="V198">
            <v>4.4301000000000004</v>
          </cell>
          <cell r="W198">
            <v>0</v>
          </cell>
          <cell r="X198">
            <v>32.815899999999999</v>
          </cell>
          <cell r="Y198">
            <v>43.0349</v>
          </cell>
          <cell r="Z198">
            <v>27.014800000000001</v>
          </cell>
          <cell r="AA198">
            <v>140.11160000000001</v>
          </cell>
          <cell r="AB198">
            <v>64.260800000000003</v>
          </cell>
          <cell r="AF198" t="str">
            <v>M0310</v>
          </cell>
          <cell r="AG198" t="str">
            <v>Peça de madeira de 2,5 x 7,5 cm</v>
          </cell>
          <cell r="AH198" t="str">
            <v>m</v>
          </cell>
          <cell r="AI198">
            <v>2.7</v>
          </cell>
        </row>
        <row r="199">
          <cell r="C199">
            <v>5914389</v>
          </cell>
          <cell r="D199" t="str">
            <v>tkm</v>
          </cell>
          <cell r="E199" t="str">
            <v>Custo unitário direto total</v>
          </cell>
          <cell r="I199">
            <v>0.41939973226238286</v>
          </cell>
          <cell r="R199" t="str">
            <v>E9583</v>
          </cell>
          <cell r="S199" t="str">
            <v>Distribuidor de agregados rebocável com capacidade de 1,9 m³</v>
          </cell>
          <cell r="T199">
            <v>46048.385799999996</v>
          </cell>
          <cell r="U199">
            <v>4.1444000000000001</v>
          </cell>
          <cell r="V199">
            <v>0.43519999999999998</v>
          </cell>
          <cell r="W199">
            <v>0</v>
          </cell>
          <cell r="X199">
            <v>2.7629000000000001</v>
          </cell>
          <cell r="Y199">
            <v>0</v>
          </cell>
          <cell r="Z199">
            <v>0</v>
          </cell>
          <cell r="AA199">
            <v>7.3425000000000002</v>
          </cell>
          <cell r="AB199">
            <v>4.5796000000000001</v>
          </cell>
          <cell r="AF199" t="str">
            <v>M0345</v>
          </cell>
          <cell r="AG199" t="str">
            <v>Cal hidratada</v>
          </cell>
          <cell r="AH199" t="str">
            <v>kg</v>
          </cell>
          <cell r="AI199">
            <v>0.42870000000000003</v>
          </cell>
        </row>
        <row r="200">
          <cell r="R200" t="str">
            <v>E9584</v>
          </cell>
          <cell r="S200" t="str">
            <v>Carregadeira de pneus com capacidade de 1,53 m³ - 106 kW</v>
          </cell>
          <cell r="T200">
            <v>368055.91609999997</v>
          </cell>
          <cell r="U200">
            <v>25.7639</v>
          </cell>
          <cell r="V200">
            <v>3.4781</v>
          </cell>
          <cell r="W200">
            <v>0</v>
          </cell>
          <cell r="X200">
            <v>25.7639</v>
          </cell>
          <cell r="Y200">
            <v>27.152999999999999</v>
          </cell>
          <cell r="Z200">
            <v>27.014800000000001</v>
          </cell>
          <cell r="AA200">
            <v>109.1737</v>
          </cell>
          <cell r="AB200">
            <v>56.256799999999998</v>
          </cell>
          <cell r="AF200" t="str">
            <v>M0365</v>
          </cell>
          <cell r="AG200" t="str">
            <v>Cantoneira em ferro de abas iguais de 1" x 3/16"</v>
          </cell>
          <cell r="AH200" t="str">
            <v>kg</v>
          </cell>
          <cell r="AI200">
            <v>4.4753999999999996</v>
          </cell>
        </row>
        <row r="201">
          <cell r="R201" t="str">
            <v>E9585</v>
          </cell>
          <cell r="S201" t="str">
            <v>Motoserra com motor a gasolina - 2,3 kW</v>
          </cell>
          <cell r="T201">
            <v>1201.9757999999999</v>
          </cell>
          <cell r="U201">
            <v>0.90149999999999997</v>
          </cell>
          <cell r="V201">
            <v>6.3100000000000003E-2</v>
          </cell>
          <cell r="W201">
            <v>0</v>
          </cell>
          <cell r="X201">
            <v>0.90149999999999997</v>
          </cell>
          <cell r="Y201">
            <v>3.0943999999999998</v>
          </cell>
          <cell r="Z201">
            <v>21.640999999999998</v>
          </cell>
          <cell r="AA201">
            <v>26.601500000000001</v>
          </cell>
          <cell r="AB201">
            <v>22.605599999999999</v>
          </cell>
          <cell r="AF201" t="str">
            <v>M0366</v>
          </cell>
          <cell r="AG201" t="str">
            <v>Cantoneira em aço galvanizado ASTM A36</v>
          </cell>
          <cell r="AH201" t="str">
            <v>kg</v>
          </cell>
          <cell r="AI201">
            <v>4.9973999999999998</v>
          </cell>
        </row>
        <row r="202">
          <cell r="I202" t="str">
            <v>DNIT</v>
          </cell>
          <cell r="R202" t="str">
            <v>E9586</v>
          </cell>
          <cell r="S202" t="str">
            <v>Régua vibratória treliçada com 4 m - 4,1 kW</v>
          </cell>
          <cell r="T202">
            <v>2895.1223</v>
          </cell>
          <cell r="U202">
            <v>0.2606</v>
          </cell>
          <cell r="V202">
            <v>2.7400000000000001E-2</v>
          </cell>
          <cell r="W202">
            <v>0</v>
          </cell>
          <cell r="X202">
            <v>0.20269999999999999</v>
          </cell>
          <cell r="Y202">
            <v>5.5160999999999998</v>
          </cell>
          <cell r="Z202">
            <v>0</v>
          </cell>
          <cell r="AA202">
            <v>6.0068000000000001</v>
          </cell>
          <cell r="AB202">
            <v>0.28799999999999998</v>
          </cell>
          <cell r="AF202" t="str">
            <v>M0374</v>
          </cell>
          <cell r="AG202" t="str">
            <v>Fungicida tipo Carbolineum ou similar</v>
          </cell>
          <cell r="AH202" t="str">
            <v>l</v>
          </cell>
          <cell r="AI202">
            <v>6.6627000000000001</v>
          </cell>
        </row>
        <row r="203">
          <cell r="R203" t="str">
            <v>E9588</v>
          </cell>
          <cell r="S203" t="str">
            <v>Vibroacabadora de concreto com fôrmas deslizantes - 205 kW</v>
          </cell>
          <cell r="T203">
            <v>2950800.1260000002</v>
          </cell>
          <cell r="U203">
            <v>147.54</v>
          </cell>
          <cell r="V203">
            <v>26.557200000000002</v>
          </cell>
          <cell r="W203">
            <v>0</v>
          </cell>
          <cell r="X203">
            <v>189.6943</v>
          </cell>
          <cell r="Y203">
            <v>124.7179</v>
          </cell>
          <cell r="Z203">
            <v>35.442</v>
          </cell>
          <cell r="AA203">
            <v>523.95140000000004</v>
          </cell>
          <cell r="AB203">
            <v>209.53919999999999</v>
          </cell>
          <cell r="AF203" t="str">
            <v>M0395</v>
          </cell>
          <cell r="AG203" t="str">
            <v>Chapa de alumínio - E = 1,5 mm</v>
          </cell>
          <cell r="AH203" t="str">
            <v>m²</v>
          </cell>
          <cell r="AI203">
            <v>126.77630000000001</v>
          </cell>
        </row>
        <row r="204">
          <cell r="D204" t="str">
            <v>Outubro/2019</v>
          </cell>
          <cell r="G204" t="str">
            <v>Produção da equipe</v>
          </cell>
          <cell r="H204">
            <v>3.62</v>
          </cell>
          <cell r="I204" t="str">
            <v>m³</v>
          </cell>
          <cell r="R204" t="str">
            <v>E9589</v>
          </cell>
          <cell r="S204" t="str">
            <v>Texturizadora/cura - 44,8 kW</v>
          </cell>
          <cell r="T204">
            <v>739671.08</v>
          </cell>
          <cell r="U204">
            <v>36.983600000000003</v>
          </cell>
          <cell r="V204">
            <v>6.657</v>
          </cell>
          <cell r="W204">
            <v>0</v>
          </cell>
          <cell r="X204">
            <v>36.983600000000003</v>
          </cell>
          <cell r="Y204">
            <v>21.517399999999999</v>
          </cell>
          <cell r="Z204">
            <v>27.014800000000001</v>
          </cell>
          <cell r="AA204">
            <v>129.15639999999999</v>
          </cell>
          <cell r="AB204">
            <v>70.6554</v>
          </cell>
          <cell r="AF204" t="str">
            <v>M0408</v>
          </cell>
          <cell r="AG204" t="str">
            <v>Chumbador para concreto Tecbolt de 12,5 mm</v>
          </cell>
          <cell r="AH204" t="str">
            <v>un</v>
          </cell>
          <cell r="AI204">
            <v>5.5830000000000002</v>
          </cell>
        </row>
        <row r="205">
          <cell r="H205" t="str">
            <v>Valores em reais (R$)</v>
          </cell>
          <cell r="R205" t="str">
            <v>E9590</v>
          </cell>
          <cell r="S205" t="str">
            <v>Central de concreto com capacidade de 40 m³/h - dosadora fixa</v>
          </cell>
          <cell r="T205">
            <v>235545.0215</v>
          </cell>
          <cell r="U205">
            <v>13.4597</v>
          </cell>
          <cell r="V205">
            <v>2.1198999999999999</v>
          </cell>
          <cell r="W205">
            <v>0</v>
          </cell>
          <cell r="X205">
            <v>11.7773</v>
          </cell>
          <cell r="Y205">
            <v>0</v>
          </cell>
          <cell r="Z205">
            <v>35.442</v>
          </cell>
          <cell r="AA205">
            <v>62.798900000000003</v>
          </cell>
          <cell r="AB205">
            <v>51.021599999999999</v>
          </cell>
          <cell r="AF205" t="str">
            <v>M0409</v>
          </cell>
          <cell r="AG205" t="str">
            <v>Chumbador para concreto Tecbolt de 6,3 mm</v>
          </cell>
          <cell r="AH205" t="str">
            <v>un</v>
          </cell>
          <cell r="AI205">
            <v>0.86060000000000003</v>
          </cell>
        </row>
        <row r="206">
          <cell r="C206" t="str">
            <v>Quantidade</v>
          </cell>
          <cell r="D206" t="str">
            <v>Utilização</v>
          </cell>
          <cell r="F206" t="str">
            <v>Custo Horário</v>
          </cell>
          <cell r="I206" t="str">
            <v>Custo</v>
          </cell>
          <cell r="R206" t="str">
            <v>E9591</v>
          </cell>
          <cell r="S206" t="str">
            <v>Serra para corte de concreto e asfalto - 10 kW</v>
          </cell>
          <cell r="T206">
            <v>11708.5738</v>
          </cell>
          <cell r="U206">
            <v>0.93669999999999998</v>
          </cell>
          <cell r="V206">
            <v>0.1106</v>
          </cell>
          <cell r="W206">
            <v>0</v>
          </cell>
          <cell r="X206">
            <v>0.8196</v>
          </cell>
          <cell r="Y206">
            <v>13.454000000000001</v>
          </cell>
          <cell r="Z206">
            <v>0</v>
          </cell>
          <cell r="AA206">
            <v>15.3209</v>
          </cell>
          <cell r="AB206">
            <v>1.0472999999999999</v>
          </cell>
          <cell r="AF206" t="str">
            <v>M0410</v>
          </cell>
          <cell r="AG206" t="str">
            <v>Chumbador para concreto Tecbolt de 20 mm</v>
          </cell>
          <cell r="AH206" t="str">
            <v>un</v>
          </cell>
          <cell r="AI206">
            <v>14.242599999999999</v>
          </cell>
        </row>
        <row r="207">
          <cell r="D207" t="str">
            <v>Operativa</v>
          </cell>
          <cell r="E207" t="str">
            <v>Improdutiva</v>
          </cell>
          <cell r="F207" t="str">
            <v>Produtivo</v>
          </cell>
          <cell r="G207" t="str">
            <v>Improdutivo</v>
          </cell>
          <cell r="I207" t="str">
            <v>Horário Total</v>
          </cell>
          <cell r="R207" t="str">
            <v>E9593</v>
          </cell>
          <cell r="S207" t="str">
            <v>Draga hopper com capacidade de 750 m³</v>
          </cell>
          <cell r="T207">
            <v>69747657.019999996</v>
          </cell>
          <cell r="U207">
            <v>544.90359999999998</v>
          </cell>
          <cell r="V207">
            <v>200.25210000000001</v>
          </cell>
          <cell r="W207">
            <v>0</v>
          </cell>
          <cell r="X207">
            <v>1210.8968</v>
          </cell>
          <cell r="Y207">
            <v>384.24</v>
          </cell>
          <cell r="Z207">
            <v>144.3947</v>
          </cell>
          <cell r="AA207">
            <v>2484.6871999999998</v>
          </cell>
          <cell r="AB207">
            <v>889.55039999999997</v>
          </cell>
          <cell r="AF207" t="str">
            <v>M0411</v>
          </cell>
          <cell r="AG207" t="str">
            <v>Chumbador para concreto Tecbolt de 10 mm</v>
          </cell>
          <cell r="AH207" t="str">
            <v>un</v>
          </cell>
          <cell r="AI207">
            <v>1.8248</v>
          </cell>
        </row>
        <row r="208">
          <cell r="C208">
            <v>1</v>
          </cell>
          <cell r="D208">
            <v>0.13</v>
          </cell>
          <cell r="E208">
            <v>0.87</v>
          </cell>
          <cell r="F208">
            <v>0.95130000000000003</v>
          </cell>
          <cell r="G208">
            <v>0.62619999999999998</v>
          </cell>
          <cell r="I208">
            <v>0.66846300000000003</v>
          </cell>
          <cell r="R208" t="str">
            <v>E9594</v>
          </cell>
          <cell r="S208" t="str">
            <v>Draga hopper com capacidade de 1.000 m³</v>
          </cell>
          <cell r="T208">
            <v>82845808.329999998</v>
          </cell>
          <cell r="U208">
            <v>647.23289999999997</v>
          </cell>
          <cell r="V208">
            <v>237.85810000000001</v>
          </cell>
          <cell r="W208">
            <v>0</v>
          </cell>
          <cell r="X208">
            <v>1438.2953</v>
          </cell>
          <cell r="Y208">
            <v>461.08800000000002</v>
          </cell>
          <cell r="Z208">
            <v>163.48650000000001</v>
          </cell>
          <cell r="AA208">
            <v>2947.9607999999998</v>
          </cell>
          <cell r="AB208">
            <v>1048.5775000000001</v>
          </cell>
          <cell r="AF208" t="str">
            <v>M0412</v>
          </cell>
          <cell r="AG208" t="str">
            <v>Chumbador para concreto Tecbolt de 16 mm</v>
          </cell>
          <cell r="AH208" t="str">
            <v>un</v>
          </cell>
          <cell r="AI208">
            <v>8.8209999999999997</v>
          </cell>
        </row>
        <row r="209">
          <cell r="C209">
            <v>1</v>
          </cell>
          <cell r="D209">
            <v>1</v>
          </cell>
          <cell r="E209">
            <v>0</v>
          </cell>
          <cell r="F209">
            <v>37.399700000000003</v>
          </cell>
          <cell r="G209">
            <v>23.020399999999999</v>
          </cell>
          <cell r="I209">
            <v>37.399700000000003</v>
          </cell>
          <cell r="R209" t="str">
            <v>E9595</v>
          </cell>
          <cell r="S209" t="str">
            <v>Draga hopper com capacidade de 2.000 m³</v>
          </cell>
          <cell r="T209">
            <v>169293608.5</v>
          </cell>
          <cell r="U209">
            <v>1322.6062999999999</v>
          </cell>
          <cell r="V209">
            <v>486.05779999999999</v>
          </cell>
          <cell r="W209">
            <v>0</v>
          </cell>
          <cell r="X209">
            <v>2939.1251000000002</v>
          </cell>
          <cell r="Y209">
            <v>806.904</v>
          </cell>
          <cell r="Z209">
            <v>163.48650000000001</v>
          </cell>
          <cell r="AA209">
            <v>5718.1796999999997</v>
          </cell>
          <cell r="AB209">
            <v>1972.1505999999999</v>
          </cell>
          <cell r="AF209" t="str">
            <v>M0413</v>
          </cell>
          <cell r="AG209" t="str">
            <v>Chumbador para concreto Tecbolt de 25 mm</v>
          </cell>
          <cell r="AH209" t="str">
            <v>un</v>
          </cell>
          <cell r="AI209">
            <v>45.025799999999997</v>
          </cell>
        </row>
        <row r="210">
          <cell r="C210">
            <v>5</v>
          </cell>
          <cell r="D210">
            <v>0.92</v>
          </cell>
          <cell r="E210">
            <v>7.999999999999996E-2</v>
          </cell>
          <cell r="F210">
            <v>0.2954</v>
          </cell>
          <cell r="G210">
            <v>0.19900000000000001</v>
          </cell>
          <cell r="I210">
            <v>1.4384399999999999</v>
          </cell>
          <cell r="R210" t="str">
            <v>E9596</v>
          </cell>
          <cell r="S210" t="str">
            <v>Draga hopper com capacidade de 3.000 m³</v>
          </cell>
          <cell r="T210">
            <v>218411676.90000001</v>
          </cell>
          <cell r="U210">
            <v>1706.3412000000001</v>
          </cell>
          <cell r="V210">
            <v>627.08040000000005</v>
          </cell>
          <cell r="W210">
            <v>0</v>
          </cell>
          <cell r="X210">
            <v>3791.8694</v>
          </cell>
          <cell r="Y210">
            <v>1152.72</v>
          </cell>
          <cell r="Z210">
            <v>274.35919999999999</v>
          </cell>
          <cell r="AA210">
            <v>7552.3702000000003</v>
          </cell>
          <cell r="AB210">
            <v>2607.7808</v>
          </cell>
          <cell r="AF210" t="str">
            <v>M0421</v>
          </cell>
          <cell r="AG210" t="str">
            <v>Cimento expansivo (tipo Demox)</v>
          </cell>
          <cell r="AH210" t="str">
            <v>kg</v>
          </cell>
          <cell r="AI210">
            <v>5.6948999999999996</v>
          </cell>
        </row>
        <row r="211">
          <cell r="C211">
            <v>3</v>
          </cell>
          <cell r="D211">
            <v>0.37</v>
          </cell>
          <cell r="E211">
            <v>0.63</v>
          </cell>
          <cell r="F211">
            <v>0.68810000000000004</v>
          </cell>
          <cell r="G211">
            <v>0.46350000000000002</v>
          </cell>
          <cell r="I211">
            <v>1.6398060000000001</v>
          </cell>
          <cell r="R211" t="str">
            <v>E9597</v>
          </cell>
          <cell r="S211" t="str">
            <v>Draga hopper com capacidade de 4.000 m³</v>
          </cell>
          <cell r="T211">
            <v>245590341.80000001</v>
          </cell>
          <cell r="U211">
            <v>1918.6745000000001</v>
          </cell>
          <cell r="V211">
            <v>705.11289999999997</v>
          </cell>
          <cell r="W211">
            <v>0</v>
          </cell>
          <cell r="X211">
            <v>4263.7212</v>
          </cell>
          <cell r="Y211">
            <v>1498.5360000000001</v>
          </cell>
          <cell r="Z211">
            <v>314.78210000000001</v>
          </cell>
          <cell r="AA211">
            <v>8700.8266999999996</v>
          </cell>
          <cell r="AB211">
            <v>2938.5695000000001</v>
          </cell>
          <cell r="AF211" t="str">
            <v>M0424</v>
          </cell>
          <cell r="AG211" t="str">
            <v>Cimento Portland CP II - 32</v>
          </cell>
          <cell r="AH211" t="str">
            <v>kg</v>
          </cell>
          <cell r="AI211">
            <v>0.41970000000000002</v>
          </cell>
        </row>
        <row r="212">
          <cell r="G212" t="str">
            <v>Custo horário total de equipamentos</v>
          </cell>
          <cell r="I212">
            <v>41.146409000000006</v>
          </cell>
          <cell r="R212" t="str">
            <v>E9598</v>
          </cell>
          <cell r="S212" t="str">
            <v>Draga hopper com capacidade de 5.000 m³</v>
          </cell>
          <cell r="T212">
            <v>292743688</v>
          </cell>
          <cell r="U212">
            <v>2287.0601000000001</v>
          </cell>
          <cell r="V212">
            <v>840.49459999999999</v>
          </cell>
          <cell r="W212">
            <v>0</v>
          </cell>
          <cell r="X212">
            <v>5082.3557000000001</v>
          </cell>
          <cell r="Y212">
            <v>1844.3520000000001</v>
          </cell>
          <cell r="Z212">
            <v>314.78210000000001</v>
          </cell>
          <cell r="AA212">
            <v>10369.0445</v>
          </cell>
          <cell r="AB212">
            <v>3442.3368</v>
          </cell>
          <cell r="AF212" t="str">
            <v>M0425</v>
          </cell>
          <cell r="AG212" t="str">
            <v>Cimento CP V - ARI</v>
          </cell>
          <cell r="AH212" t="str">
            <v>kg</v>
          </cell>
          <cell r="AI212">
            <v>0.49330000000000002</v>
          </cell>
        </row>
        <row r="213">
          <cell r="C213" t="str">
            <v>Quantidade</v>
          </cell>
          <cell r="D213" t="str">
            <v>Unidade</v>
          </cell>
          <cell r="E213" t="str">
            <v>Custo Horário</v>
          </cell>
          <cell r="G213" t="str">
            <v>Custo Horário Total</v>
          </cell>
          <cell r="R213" t="str">
            <v>E9599</v>
          </cell>
          <cell r="S213" t="str">
            <v>Central de concreto com capacidade de 30 m³/h - dosadora RS</v>
          </cell>
          <cell r="T213">
            <v>83522.9041</v>
          </cell>
          <cell r="U213">
            <v>4.7727000000000004</v>
          </cell>
          <cell r="V213">
            <v>0.75170000000000003</v>
          </cell>
          <cell r="W213">
            <v>0</v>
          </cell>
          <cell r="X213">
            <v>4.1760999999999999</v>
          </cell>
          <cell r="Y213">
            <v>0</v>
          </cell>
          <cell r="Z213">
            <v>35.442</v>
          </cell>
          <cell r="AA213">
            <v>45.142499999999998</v>
          </cell>
          <cell r="AB213">
            <v>40.9664</v>
          </cell>
          <cell r="AF213" t="str">
            <v>M0427</v>
          </cell>
          <cell r="AG213" t="str">
            <v>Cordoalha CP 190 RB - D = 12,7 mm</v>
          </cell>
          <cell r="AH213" t="str">
            <v>kg</v>
          </cell>
          <cell r="AI213">
            <v>8.6362000000000005</v>
          </cell>
        </row>
        <row r="214">
          <cell r="C214">
            <v>1</v>
          </cell>
          <cell r="D214" t="str">
            <v>h</v>
          </cell>
          <cell r="F214">
            <v>24.468900000000001</v>
          </cell>
          <cell r="I214">
            <v>24.468900000000001</v>
          </cell>
          <cell r="R214" t="str">
            <v>E9601</v>
          </cell>
          <cell r="S214" t="str">
            <v>Embarcação de transporte de pessoal e apoio logístico - 175 HP</v>
          </cell>
          <cell r="T214">
            <v>377690.2732</v>
          </cell>
          <cell r="U214">
            <v>5.9013999999999998</v>
          </cell>
          <cell r="V214">
            <v>1.1359999999999999</v>
          </cell>
          <cell r="W214">
            <v>0</v>
          </cell>
          <cell r="X214">
            <v>6.5571000000000002</v>
          </cell>
          <cell r="Y214">
            <v>199.88800000000001</v>
          </cell>
          <cell r="Z214">
            <v>28.914300000000001</v>
          </cell>
          <cell r="AA214">
            <v>242.39680000000001</v>
          </cell>
          <cell r="AB214">
            <v>35.951700000000002</v>
          </cell>
          <cell r="AF214" t="str">
            <v>M0428</v>
          </cell>
          <cell r="AG214" t="str">
            <v>Cordoalha CP 190 RB - D = 15,2 mm</v>
          </cell>
          <cell r="AH214" t="str">
            <v>kg</v>
          </cell>
          <cell r="AI214">
            <v>8.9352</v>
          </cell>
        </row>
        <row r="215">
          <cell r="C215">
            <v>11</v>
          </cell>
          <cell r="D215" t="str">
            <v>h</v>
          </cell>
          <cell r="F215">
            <v>19.378599999999999</v>
          </cell>
          <cell r="I215">
            <v>213.16459999999998</v>
          </cell>
          <cell r="R215" t="str">
            <v>E9603</v>
          </cell>
          <cell r="S215" t="str">
            <v>Embarcação empurradora multipropósito com guindaste hidráulico de 11 t.m - 2 x 150 HP</v>
          </cell>
          <cell r="T215">
            <v>2791477.78</v>
          </cell>
          <cell r="U215">
            <v>36.3474</v>
          </cell>
          <cell r="V215">
            <v>8.2690000000000001</v>
          </cell>
          <cell r="W215">
            <v>0</v>
          </cell>
          <cell r="X215">
            <v>80.771900000000002</v>
          </cell>
          <cell r="Y215">
            <v>136.27709999999999</v>
          </cell>
          <cell r="Z215">
            <v>112.74979999999999</v>
          </cell>
          <cell r="AA215">
            <v>374.41520000000003</v>
          </cell>
          <cell r="AB215">
            <v>157.36619999999999</v>
          </cell>
          <cell r="AF215" t="str">
            <v>M0429</v>
          </cell>
          <cell r="AG215" t="str">
            <v>Perfil de alumínio L421 de 33 x 40 mm</v>
          </cell>
          <cell r="AH215" t="str">
            <v>m</v>
          </cell>
          <cell r="AI215">
            <v>9.8649000000000004</v>
          </cell>
        </row>
        <row r="216">
          <cell r="C216" t="str">
            <v>Custo horário total de mão de obra</v>
          </cell>
          <cell r="H216">
            <v>237.63349999999997</v>
          </cell>
          <cell r="R216" t="str">
            <v>E9606</v>
          </cell>
          <cell r="S216" t="str">
            <v>Rebocador - 2 x 360 HP</v>
          </cell>
          <cell r="T216">
            <v>1059730.273</v>
          </cell>
          <cell r="U216">
            <v>13.7986</v>
          </cell>
          <cell r="V216">
            <v>3.1392000000000002</v>
          </cell>
          <cell r="W216">
            <v>0</v>
          </cell>
          <cell r="X216">
            <v>30.663499999999999</v>
          </cell>
          <cell r="Y216">
            <v>326.70010000000002</v>
          </cell>
          <cell r="Z216">
            <v>112.74979999999999</v>
          </cell>
          <cell r="AA216">
            <v>487.05119999999999</v>
          </cell>
          <cell r="AB216">
            <v>129.6876</v>
          </cell>
          <cell r="AF216" t="str">
            <v>M0432</v>
          </cell>
          <cell r="AG216" t="str">
            <v>Cola de neoprene</v>
          </cell>
          <cell r="AH216" t="str">
            <v>kg</v>
          </cell>
          <cell r="AI216">
            <v>21.968</v>
          </cell>
        </row>
        <row r="217">
          <cell r="C217" t="str">
            <v>Custo horário total de execução</v>
          </cell>
          <cell r="I217">
            <v>278.77990899999998</v>
          </cell>
          <cell r="R217" t="str">
            <v>E9607</v>
          </cell>
          <cell r="S217" t="str">
            <v>Conjunto de britagem para rachão com capacidade de 80 m³/h</v>
          </cell>
          <cell r="T217">
            <v>1479545.564</v>
          </cell>
          <cell r="U217">
            <v>84.545500000000004</v>
          </cell>
          <cell r="V217">
            <v>13.315899999999999</v>
          </cell>
          <cell r="W217">
            <v>0</v>
          </cell>
          <cell r="X217">
            <v>63.409100000000002</v>
          </cell>
          <cell r="Y217">
            <v>0</v>
          </cell>
          <cell r="Z217">
            <v>35.442</v>
          </cell>
          <cell r="AA217">
            <v>196.71250000000001</v>
          </cell>
          <cell r="AB217">
            <v>133.30340000000001</v>
          </cell>
          <cell r="AF217" t="str">
            <v>M0434</v>
          </cell>
          <cell r="AG217" t="str">
            <v>Tirante de aço ST 95/105 de capacidade de 39 t - D = 32 mm</v>
          </cell>
          <cell r="AH217" t="str">
            <v>m</v>
          </cell>
          <cell r="AI217">
            <v>80.5929</v>
          </cell>
        </row>
        <row r="218">
          <cell r="C218" t="str">
            <v>Custo unitário de execução</v>
          </cell>
          <cell r="I218">
            <v>77.011024585635354</v>
          </cell>
          <cell r="R218" t="str">
            <v>E9609</v>
          </cell>
          <cell r="S218" t="str">
            <v>Draga de sucção para extração de areia com tubo de descarga de 150 mm - 100 kW</v>
          </cell>
          <cell r="T218">
            <v>441634.9</v>
          </cell>
          <cell r="U218">
            <v>3.4502999999999999</v>
          </cell>
          <cell r="V218">
            <v>1.268</v>
          </cell>
          <cell r="W218">
            <v>0</v>
          </cell>
          <cell r="X218">
            <v>7.6673</v>
          </cell>
          <cell r="Y218">
            <v>48.03</v>
          </cell>
          <cell r="Z218">
            <v>47.829700000000003</v>
          </cell>
          <cell r="AA218">
            <v>108.2453</v>
          </cell>
          <cell r="AB218">
            <v>52.548000000000002</v>
          </cell>
          <cell r="AF218" t="str">
            <v>M0440</v>
          </cell>
          <cell r="AG218" t="str">
            <v>Anel de compensação angular de até 45°</v>
          </cell>
          <cell r="AH218" t="str">
            <v>un</v>
          </cell>
          <cell r="AI218">
            <v>30.6433</v>
          </cell>
        </row>
        <row r="219">
          <cell r="G219" t="str">
            <v>Custo do FIC</v>
          </cell>
          <cell r="R219" t="str">
            <v>E9611</v>
          </cell>
          <cell r="S219" t="str">
            <v>Conjunto de britagem com capacidade de 80 m³/h</v>
          </cell>
          <cell r="T219">
            <v>4990567.3289999999</v>
          </cell>
          <cell r="U219">
            <v>285.17529999999999</v>
          </cell>
          <cell r="V219">
            <v>44.915100000000002</v>
          </cell>
          <cell r="W219">
            <v>0</v>
          </cell>
          <cell r="X219">
            <v>213.88149999999999</v>
          </cell>
          <cell r="Y219">
            <v>0</v>
          </cell>
          <cell r="Z219">
            <v>35.442</v>
          </cell>
          <cell r="AA219">
            <v>579.41390000000001</v>
          </cell>
          <cell r="AB219">
            <v>365.5324</v>
          </cell>
          <cell r="AF219" t="str">
            <v>M0442</v>
          </cell>
          <cell r="AG219" t="str">
            <v>Compensado plastificado de 10 mm</v>
          </cell>
          <cell r="AH219" t="str">
            <v>m²</v>
          </cell>
          <cell r="AI219">
            <v>17.3553</v>
          </cell>
        </row>
        <row r="220">
          <cell r="G220" t="str">
            <v>Custo do FIT</v>
          </cell>
          <cell r="R220" t="str">
            <v>E9612</v>
          </cell>
          <cell r="S220" t="str">
            <v>Plataforma flutuante montada na obra de 12 x 24 x 1,8 m com capacidade de 150 t</v>
          </cell>
          <cell r="T220">
            <v>434172.39350000001</v>
          </cell>
          <cell r="U220">
            <v>3.3919999999999999</v>
          </cell>
          <cell r="V220">
            <v>1.2464999999999999</v>
          </cell>
          <cell r="W220">
            <v>0</v>
          </cell>
          <cell r="X220">
            <v>5.6532999999999998</v>
          </cell>
          <cell r="Y220">
            <v>0</v>
          </cell>
          <cell r="Z220">
            <v>38.183599999999998</v>
          </cell>
          <cell r="AA220">
            <v>48.4754</v>
          </cell>
          <cell r="AB220">
            <v>42.822099999999999</v>
          </cell>
          <cell r="AF220" t="str">
            <v>M0443</v>
          </cell>
          <cell r="AG220" t="str">
            <v>Compensado plastificado de 12 mm</v>
          </cell>
          <cell r="AH220" t="str">
            <v>m²</v>
          </cell>
          <cell r="AI220">
            <v>24.570900000000002</v>
          </cell>
        </row>
        <row r="221">
          <cell r="C221" t="str">
            <v>Quantidade</v>
          </cell>
          <cell r="D221" t="str">
            <v>Unidade</v>
          </cell>
          <cell r="E221" t="str">
            <v>Preço Unitário</v>
          </cell>
          <cell r="G221" t="str">
            <v>Custo Unitário</v>
          </cell>
          <cell r="R221" t="str">
            <v>E9613</v>
          </cell>
          <cell r="S221" t="str">
            <v>Guindaste sobre esteiras com pinça - 220 kW</v>
          </cell>
          <cell r="T221">
            <v>2469952.7250000001</v>
          </cell>
          <cell r="U221">
            <v>86.448300000000003</v>
          </cell>
          <cell r="V221">
            <v>21.396000000000001</v>
          </cell>
          <cell r="W221">
            <v>0</v>
          </cell>
          <cell r="X221">
            <v>123.49760000000001</v>
          </cell>
          <cell r="Y221">
            <v>35.222000000000001</v>
          </cell>
          <cell r="Z221">
            <v>35.442</v>
          </cell>
          <cell r="AA221">
            <v>302.0059</v>
          </cell>
          <cell r="AB221">
            <v>143.28630000000001</v>
          </cell>
          <cell r="AF221" t="str">
            <v>M0444</v>
          </cell>
          <cell r="AG221" t="str">
            <v>Luva de emenda prensada - D = 12,5 mm</v>
          </cell>
          <cell r="AH221" t="str">
            <v>un</v>
          </cell>
          <cell r="AI221">
            <v>11.641400000000001</v>
          </cell>
        </row>
        <row r="222">
          <cell r="C222">
            <v>1.17455</v>
          </cell>
          <cell r="D222" t="str">
            <v>kg</v>
          </cell>
          <cell r="F222">
            <v>5.7961</v>
          </cell>
          <cell r="I222">
            <v>6.8078092549999996</v>
          </cell>
          <cell r="R222" t="str">
            <v>E9614</v>
          </cell>
          <cell r="S222" t="str">
            <v>Bomba com câmara de vácuo - 5,6 kW</v>
          </cell>
          <cell r="T222">
            <v>5620.1770999999999</v>
          </cell>
          <cell r="U222">
            <v>0.4496</v>
          </cell>
          <cell r="V222">
            <v>5.3100000000000001E-2</v>
          </cell>
          <cell r="W222">
            <v>0</v>
          </cell>
          <cell r="X222">
            <v>0.39340000000000003</v>
          </cell>
          <cell r="Y222">
            <v>0</v>
          </cell>
          <cell r="Z222">
            <v>0</v>
          </cell>
          <cell r="AA222">
            <v>0.89610000000000001</v>
          </cell>
          <cell r="AB222">
            <v>0.50270000000000004</v>
          </cell>
          <cell r="AF222" t="str">
            <v>M0445</v>
          </cell>
          <cell r="AG222" t="str">
            <v>Luva de emenda prensada - D = 16 mm</v>
          </cell>
          <cell r="AH222" t="str">
            <v>un</v>
          </cell>
          <cell r="AI222">
            <v>15.2911</v>
          </cell>
        </row>
        <row r="223">
          <cell r="C223">
            <v>0.57055999999999996</v>
          </cell>
          <cell r="D223" t="str">
            <v>m³</v>
          </cell>
          <cell r="F223">
            <v>75.196700000000007</v>
          </cell>
          <cell r="I223">
            <v>42.904229151999999</v>
          </cell>
          <cell r="R223" t="str">
            <v>E9615</v>
          </cell>
          <cell r="S223" t="str">
            <v>Usina misturadora de solos com capacidade de 300 t/h</v>
          </cell>
          <cell r="T223">
            <v>855178.06449999998</v>
          </cell>
          <cell r="U223">
            <v>48.8673</v>
          </cell>
          <cell r="V223">
            <v>7.6966000000000001</v>
          </cell>
          <cell r="W223">
            <v>0</v>
          </cell>
          <cell r="X223">
            <v>42.758899999999997</v>
          </cell>
          <cell r="Y223">
            <v>0</v>
          </cell>
          <cell r="Z223">
            <v>27.014800000000001</v>
          </cell>
          <cell r="AA223">
            <v>126.33759999999999</v>
          </cell>
          <cell r="AB223">
            <v>83.578699999999998</v>
          </cell>
          <cell r="AF223" t="str">
            <v>M0446</v>
          </cell>
          <cell r="AG223" t="str">
            <v>Compensado resinado de 10 mm</v>
          </cell>
          <cell r="AH223" t="str">
            <v>m²</v>
          </cell>
          <cell r="AI223">
            <v>15.7</v>
          </cell>
        </row>
        <row r="224">
          <cell r="C224">
            <v>0.36753999999999998</v>
          </cell>
          <cell r="D224" t="str">
            <v>m³</v>
          </cell>
          <cell r="F224">
            <v>63.738799999999998</v>
          </cell>
          <cell r="I224">
            <v>23.426558551999999</v>
          </cell>
          <cell r="R224" t="str">
            <v>E9617</v>
          </cell>
          <cell r="S224" t="str">
            <v>Usina misturadora de pré misturado a frio com capacidade de 60 t/h</v>
          </cell>
          <cell r="T224">
            <v>118794.317</v>
          </cell>
          <cell r="U224">
            <v>6.7881999999999998</v>
          </cell>
          <cell r="V224">
            <v>1.0690999999999999</v>
          </cell>
          <cell r="W224">
            <v>0</v>
          </cell>
          <cell r="X224">
            <v>5.9397000000000002</v>
          </cell>
          <cell r="Y224">
            <v>0</v>
          </cell>
          <cell r="Z224">
            <v>27.014800000000001</v>
          </cell>
          <cell r="AA224">
            <v>40.811799999999998</v>
          </cell>
          <cell r="AB224">
            <v>34.872100000000003</v>
          </cell>
          <cell r="AF224" t="str">
            <v>M0447</v>
          </cell>
          <cell r="AG224" t="str">
            <v>Compensado resinado de 12 mm</v>
          </cell>
          <cell r="AH224" t="str">
            <v>m²</v>
          </cell>
          <cell r="AI224">
            <v>15.77</v>
          </cell>
        </row>
        <row r="225">
          <cell r="C225">
            <v>0.36753999999999998</v>
          </cell>
          <cell r="D225" t="str">
            <v>m³</v>
          </cell>
          <cell r="F225">
            <v>61.357900000000001</v>
          </cell>
          <cell r="I225">
            <v>22.551482566000001</v>
          </cell>
          <cell r="R225" t="str">
            <v>E9618</v>
          </cell>
          <cell r="S225" t="str">
            <v>Batelão autopropelido com capacidade de 300 m³ - 224 kW</v>
          </cell>
          <cell r="T225">
            <v>16543661.26</v>
          </cell>
          <cell r="U225">
            <v>129.2474</v>
          </cell>
          <cell r="V225">
            <v>47.498399999999997</v>
          </cell>
          <cell r="W225">
            <v>0</v>
          </cell>
          <cell r="X225">
            <v>287.21629999999999</v>
          </cell>
          <cell r="Y225">
            <v>43.0349</v>
          </cell>
          <cell r="Z225">
            <v>91.418700000000001</v>
          </cell>
          <cell r="AA225">
            <v>598.41570000000002</v>
          </cell>
          <cell r="AB225">
            <v>268.16449999999998</v>
          </cell>
          <cell r="AF225" t="str">
            <v>M0448</v>
          </cell>
          <cell r="AG225" t="str">
            <v>Compensado resinado de 14 mm</v>
          </cell>
          <cell r="AH225" t="str">
            <v>m²</v>
          </cell>
          <cell r="AI225">
            <v>18.638400000000001</v>
          </cell>
        </row>
        <row r="226">
          <cell r="C226">
            <v>391.517</v>
          </cell>
          <cell r="D226" t="str">
            <v>kg</v>
          </cell>
          <cell r="F226">
            <v>0.41970000000000002</v>
          </cell>
          <cell r="I226">
            <v>164.3196849</v>
          </cell>
          <cell r="R226" t="str">
            <v>E9619</v>
          </cell>
          <cell r="S226" t="str">
            <v>Batelão autopropelido com capacidade de 500 m³ - 373 kW</v>
          </cell>
          <cell r="T226">
            <v>20295198.530000001</v>
          </cell>
          <cell r="U226">
            <v>158.55619999999999</v>
          </cell>
          <cell r="V226">
            <v>58.269399999999997</v>
          </cell>
          <cell r="W226">
            <v>0</v>
          </cell>
          <cell r="X226">
            <v>352.34719999999999</v>
          </cell>
          <cell r="Y226">
            <v>71.660799999999995</v>
          </cell>
          <cell r="Z226">
            <v>91.418700000000001</v>
          </cell>
          <cell r="AA226">
            <v>732.25229999999999</v>
          </cell>
          <cell r="AB226">
            <v>308.24430000000001</v>
          </cell>
          <cell r="AF226" t="str">
            <v>M0449</v>
          </cell>
          <cell r="AG226" t="str">
            <v>Compensado resinado de 18 mm</v>
          </cell>
          <cell r="AH226" t="str">
            <v>m²</v>
          </cell>
          <cell r="AI226">
            <v>23.946200000000001</v>
          </cell>
        </row>
        <row r="227">
          <cell r="C227" t="str">
            <v>Custo unitário total de material</v>
          </cell>
          <cell r="I227">
            <v>260.00976442500001</v>
          </cell>
          <cell r="R227" t="str">
            <v>E9620</v>
          </cell>
          <cell r="S227" t="str">
            <v>Pontão flutuante de 15 x 30 x 1,8 m com capacidade de 500 t</v>
          </cell>
          <cell r="T227">
            <v>2098326.7599999998</v>
          </cell>
          <cell r="U227">
            <v>16.3932</v>
          </cell>
          <cell r="V227">
            <v>6.0244999999999997</v>
          </cell>
          <cell r="W227">
            <v>0</v>
          </cell>
          <cell r="X227">
            <v>27.321999999999999</v>
          </cell>
          <cell r="Y227">
            <v>0</v>
          </cell>
          <cell r="Z227">
            <v>19.091799999999999</v>
          </cell>
          <cell r="AA227">
            <v>68.831500000000005</v>
          </cell>
          <cell r="AB227">
            <v>41.509500000000003</v>
          </cell>
          <cell r="AF227" t="str">
            <v>M0450</v>
          </cell>
          <cell r="AG227" t="str">
            <v>Compensado de virola de 6 mm</v>
          </cell>
          <cell r="AH227" t="str">
            <v>m²</v>
          </cell>
          <cell r="AI227">
            <v>22.631399999999999</v>
          </cell>
        </row>
        <row r="228">
          <cell r="C228" t="str">
            <v>Quantidade</v>
          </cell>
          <cell r="D228" t="str">
            <v>Unidade</v>
          </cell>
          <cell r="E228" t="str">
            <v>Custo Unitário</v>
          </cell>
          <cell r="G228" t="str">
            <v>Custo Unitário</v>
          </cell>
          <cell r="R228" t="str">
            <v>E9621</v>
          </cell>
          <cell r="S228" t="str">
            <v>Bomba de injeção de argamassa e nata com capacidade de 50 l/min e misturador com tambor de 150 l - 12,5 kW</v>
          </cell>
          <cell r="T228">
            <v>205697.12700000001</v>
          </cell>
          <cell r="U228">
            <v>16.4558</v>
          </cell>
          <cell r="V228">
            <v>1.9438</v>
          </cell>
          <cell r="W228">
            <v>0</v>
          </cell>
          <cell r="X228">
            <v>16.4558</v>
          </cell>
          <cell r="Y228">
            <v>7.6048</v>
          </cell>
          <cell r="Z228">
            <v>21.640999999999998</v>
          </cell>
          <cell r="AA228">
            <v>64.101200000000006</v>
          </cell>
          <cell r="AB228">
            <v>40.040599999999998</v>
          </cell>
          <cell r="AF228" t="str">
            <v>M0451</v>
          </cell>
          <cell r="AG228" t="str">
            <v>Concreto usinado fck = 20 MPa (comercial)</v>
          </cell>
          <cell r="AH228" t="str">
            <v>m³</v>
          </cell>
          <cell r="AI228">
            <v>0</v>
          </cell>
        </row>
        <row r="229">
          <cell r="C229" t="str">
            <v>Custo total de atividades auxiliares</v>
          </cell>
          <cell r="R229" t="str">
            <v>E9622</v>
          </cell>
          <cell r="S229" t="str">
            <v>Máquina de bancada universal para corte de chapa - 1,5 kW</v>
          </cell>
          <cell r="T229">
            <v>38207.651400000002</v>
          </cell>
          <cell r="U229">
            <v>2.1833</v>
          </cell>
          <cell r="V229">
            <v>0.34389999999999998</v>
          </cell>
          <cell r="W229">
            <v>0</v>
          </cell>
          <cell r="X229">
            <v>1.6375</v>
          </cell>
          <cell r="Y229">
            <v>0</v>
          </cell>
          <cell r="Z229">
            <v>0</v>
          </cell>
          <cell r="AA229">
            <v>4.1646999999999998</v>
          </cell>
          <cell r="AB229">
            <v>2.5272000000000001</v>
          </cell>
          <cell r="AF229" t="str">
            <v>M0452</v>
          </cell>
          <cell r="AG229" t="str">
            <v>Concreto usinado fck = 25 MPa (comercial)</v>
          </cell>
          <cell r="AH229" t="str">
            <v>m³</v>
          </cell>
          <cell r="AI229">
            <v>0</v>
          </cell>
        </row>
        <row r="230">
          <cell r="G230" t="str">
            <v>Subtotal</v>
          </cell>
          <cell r="R230" t="str">
            <v>E9623</v>
          </cell>
          <cell r="S230" t="str">
            <v>Máquina de bancada guilhotina - 4 kW</v>
          </cell>
          <cell r="T230">
            <v>60257.2624</v>
          </cell>
          <cell r="U230">
            <v>3.4432999999999998</v>
          </cell>
          <cell r="V230">
            <v>0.5423</v>
          </cell>
          <cell r="W230">
            <v>0</v>
          </cell>
          <cell r="X230">
            <v>2.5825</v>
          </cell>
          <cell r="Y230">
            <v>0</v>
          </cell>
          <cell r="Z230">
            <v>0</v>
          </cell>
          <cell r="AA230">
            <v>6.5681000000000003</v>
          </cell>
          <cell r="AB230">
            <v>3.9855999999999998</v>
          </cell>
          <cell r="AF230" t="str">
            <v>M0453</v>
          </cell>
          <cell r="AG230" t="str">
            <v>Concreto usinado fck = 30 MPa (comercial)</v>
          </cell>
          <cell r="AH230" t="str">
            <v>m³</v>
          </cell>
          <cell r="AI230">
            <v>0</v>
          </cell>
        </row>
        <row r="231">
          <cell r="C231" t="str">
            <v>Código</v>
          </cell>
          <cell r="D231" t="str">
            <v>Quantidade</v>
          </cell>
          <cell r="E231" t="str">
            <v>Unidade</v>
          </cell>
          <cell r="F231" t="str">
            <v>Custo Unitário</v>
          </cell>
          <cell r="H231" t="str">
            <v>Custo Unitário</v>
          </cell>
          <cell r="R231" t="str">
            <v>E9624</v>
          </cell>
          <cell r="S231" t="str">
            <v>Draga hopper com capacidade de 10.000 m³</v>
          </cell>
          <cell r="T231">
            <v>459584963.80000001</v>
          </cell>
          <cell r="U231">
            <v>3590.5075000000002</v>
          </cell>
          <cell r="V231">
            <v>1319.5115000000001</v>
          </cell>
          <cell r="W231">
            <v>0</v>
          </cell>
          <cell r="X231">
            <v>7978.9056</v>
          </cell>
          <cell r="Y231">
            <v>3150.768</v>
          </cell>
          <cell r="Z231">
            <v>425.29259999999999</v>
          </cell>
          <cell r="AA231">
            <v>16464.985199999999</v>
          </cell>
          <cell r="AB231">
            <v>5335.3116</v>
          </cell>
          <cell r="AF231" t="str">
            <v>M0454</v>
          </cell>
          <cell r="AG231" t="str">
            <v>Concreto usinado fck = 35 MPa (comercial)</v>
          </cell>
          <cell r="AH231" t="str">
            <v>m³</v>
          </cell>
          <cell r="AI231">
            <v>0</v>
          </cell>
        </row>
        <row r="232">
          <cell r="C232">
            <v>5914655</v>
          </cell>
          <cell r="D232">
            <v>1.17E-3</v>
          </cell>
          <cell r="E232" t="str">
            <v>t</v>
          </cell>
          <cell r="G232">
            <v>22.49</v>
          </cell>
          <cell r="I232">
            <v>2.6313299999999998E-2</v>
          </cell>
          <cell r="R232" t="str">
            <v>E9625</v>
          </cell>
          <cell r="S232" t="str">
            <v>Draga hopper com capacidade de 15.000 m³</v>
          </cell>
          <cell r="T232">
            <v>666333619.39999998</v>
          </cell>
          <cell r="U232">
            <v>5205.7313999999997</v>
          </cell>
          <cell r="V232">
            <v>1913.1062999999999</v>
          </cell>
          <cell r="W232">
            <v>0</v>
          </cell>
          <cell r="X232">
            <v>11568.291999999999</v>
          </cell>
          <cell r="Y232">
            <v>4534.0320000000002</v>
          </cell>
          <cell r="Z232">
            <v>446.47669999999999</v>
          </cell>
          <cell r="AA232">
            <v>23667.6384</v>
          </cell>
          <cell r="AB232">
            <v>7565.3144000000002</v>
          </cell>
          <cell r="AF232" t="str">
            <v>M0459</v>
          </cell>
          <cell r="AG232" t="str">
            <v>Compensado plastificado de 14 mm</v>
          </cell>
          <cell r="AH232" t="str">
            <v>m²</v>
          </cell>
          <cell r="AI232">
            <v>33.008400000000002</v>
          </cell>
        </row>
        <row r="233">
          <cell r="C233">
            <v>5914647</v>
          </cell>
          <cell r="D233">
            <v>0.85584000000000005</v>
          </cell>
          <cell r="E233" t="str">
            <v>t</v>
          </cell>
          <cell r="G233">
            <v>0.93</v>
          </cell>
          <cell r="I233">
            <v>0.79593120000000006</v>
          </cell>
          <cell r="R233" t="str">
            <v>E9626</v>
          </cell>
          <cell r="S233" t="str">
            <v>Draga hopper com capacidade de 20.000 m³</v>
          </cell>
          <cell r="T233">
            <v>873082275</v>
          </cell>
          <cell r="U233">
            <v>6820.9552999999996</v>
          </cell>
          <cell r="V233">
            <v>2506.7011000000002</v>
          </cell>
          <cell r="W233">
            <v>0</v>
          </cell>
          <cell r="X233">
            <v>15157.678400000001</v>
          </cell>
          <cell r="Y233">
            <v>5955.72</v>
          </cell>
          <cell r="Z233">
            <v>465.56849999999997</v>
          </cell>
          <cell r="AA233">
            <v>30906.623299999999</v>
          </cell>
          <cell r="AB233">
            <v>9793.2248999999993</v>
          </cell>
          <cell r="AF233" t="str">
            <v>M0467</v>
          </cell>
          <cell r="AG233" t="str">
            <v>Luva de emenda prensada - D = 20 mm</v>
          </cell>
          <cell r="AH233" t="str">
            <v>un</v>
          </cell>
          <cell r="AI233">
            <v>29.127400000000002</v>
          </cell>
        </row>
        <row r="234">
          <cell r="C234">
            <v>5914647</v>
          </cell>
          <cell r="D234">
            <v>0.55130999999999997</v>
          </cell>
          <cell r="E234" t="str">
            <v>t</v>
          </cell>
          <cell r="G234">
            <v>0.93</v>
          </cell>
          <cell r="I234">
            <v>0.51271829999999996</v>
          </cell>
          <cell r="R234" t="str">
            <v>E9628</v>
          </cell>
          <cell r="S234" t="str">
            <v>Fábrica de pré-moldado de concreto para balizador - 2,2 kW</v>
          </cell>
          <cell r="T234">
            <v>10918.197</v>
          </cell>
          <cell r="U234">
            <v>1.4558</v>
          </cell>
          <cell r="V234">
            <v>0.17199999999999999</v>
          </cell>
          <cell r="W234">
            <v>0</v>
          </cell>
          <cell r="X234">
            <v>1.0918000000000001</v>
          </cell>
          <cell r="Y234">
            <v>0</v>
          </cell>
          <cell r="Z234">
            <v>0</v>
          </cell>
          <cell r="AA234">
            <v>2.7195999999999998</v>
          </cell>
          <cell r="AB234">
            <v>1.6277999999999999</v>
          </cell>
          <cell r="AF234" t="str">
            <v>M0468</v>
          </cell>
          <cell r="AG234" t="str">
            <v>Luva de emenda prensada - D = 25 mm</v>
          </cell>
          <cell r="AH234" t="str">
            <v>un</v>
          </cell>
          <cell r="AI234">
            <v>43.119900000000001</v>
          </cell>
        </row>
        <row r="235">
          <cell r="C235">
            <v>5914647</v>
          </cell>
          <cell r="D235">
            <v>0.55130999999999997</v>
          </cell>
          <cell r="E235" t="str">
            <v>t</v>
          </cell>
          <cell r="G235">
            <v>0.93</v>
          </cell>
          <cell r="I235">
            <v>0.51271829999999996</v>
          </cell>
          <cell r="R235" t="str">
            <v>E9630</v>
          </cell>
          <cell r="S235" t="str">
            <v>Bomba submersível com capacidade de 75 m³/h - 3,6 kW</v>
          </cell>
          <cell r="T235">
            <v>3191.3512000000001</v>
          </cell>
          <cell r="U235">
            <v>0.25530000000000003</v>
          </cell>
          <cell r="V235">
            <v>3.0200000000000001E-2</v>
          </cell>
          <cell r="W235">
            <v>0</v>
          </cell>
          <cell r="X235">
            <v>0.22339999999999999</v>
          </cell>
          <cell r="Y235">
            <v>0</v>
          </cell>
          <cell r="Z235">
            <v>0</v>
          </cell>
          <cell r="AA235">
            <v>0.50890000000000002</v>
          </cell>
          <cell r="AB235">
            <v>0.28549999999999998</v>
          </cell>
          <cell r="AF235" t="str">
            <v>M0469</v>
          </cell>
          <cell r="AG235" t="str">
            <v>Luva de emenda prensada - D = 32 mm</v>
          </cell>
          <cell r="AH235" t="str">
            <v>un</v>
          </cell>
          <cell r="AI235">
            <v>81.724999999999994</v>
          </cell>
        </row>
        <row r="236">
          <cell r="C236">
            <v>5914655</v>
          </cell>
          <cell r="D236">
            <v>0.39151999999999998</v>
          </cell>
          <cell r="E236" t="str">
            <v>t</v>
          </cell>
          <cell r="G236">
            <v>22.49</v>
          </cell>
          <cell r="I236">
            <v>8.805284799999999</v>
          </cell>
          <cell r="R236" t="str">
            <v>E9631</v>
          </cell>
          <cell r="S236" t="str">
            <v>Bomba para concreto projetado via seca com capacidade de 6 m³/h - 7,5 kW</v>
          </cell>
          <cell r="T236">
            <v>55384.005299999997</v>
          </cell>
          <cell r="U236">
            <v>4.4306999999999999</v>
          </cell>
          <cell r="V236">
            <v>0.52339999999999998</v>
          </cell>
          <cell r="W236">
            <v>0</v>
          </cell>
          <cell r="X236">
            <v>3.8769</v>
          </cell>
          <cell r="Y236">
            <v>0</v>
          </cell>
          <cell r="Z236">
            <v>35.442</v>
          </cell>
          <cell r="AA236">
            <v>44.273000000000003</v>
          </cell>
          <cell r="AB236">
            <v>40.396099999999997</v>
          </cell>
          <cell r="AF236" t="str">
            <v>M0470</v>
          </cell>
          <cell r="AG236" t="str">
            <v>Luva de emenda com rosca cônica - D = 12,5 mm</v>
          </cell>
          <cell r="AH236" t="str">
            <v>un</v>
          </cell>
          <cell r="AI236">
            <v>10.0806</v>
          </cell>
        </row>
        <row r="237">
          <cell r="C237" t="str">
            <v>Custo unitário total de tempo fixo</v>
          </cell>
          <cell r="I237">
            <v>10.652965899999998</v>
          </cell>
          <cell r="R237" t="str">
            <v>E9632</v>
          </cell>
          <cell r="S237" t="str">
            <v>Conjunto vibratório para tubos de concreto com encaixe PB e 3 jogos de fôrmas - D = 20 cm - 2,2 kW</v>
          </cell>
          <cell r="T237">
            <v>36233.075599999996</v>
          </cell>
          <cell r="U237">
            <v>4.8311000000000002</v>
          </cell>
          <cell r="V237">
            <v>0.57069999999999999</v>
          </cell>
          <cell r="W237">
            <v>0</v>
          </cell>
          <cell r="X237">
            <v>3.6233</v>
          </cell>
          <cell r="Y237">
            <v>0</v>
          </cell>
          <cell r="Z237">
            <v>0</v>
          </cell>
          <cell r="AA237">
            <v>9.0251000000000001</v>
          </cell>
          <cell r="AB237">
            <v>5.4017999999999997</v>
          </cell>
          <cell r="AF237" t="str">
            <v>M0471</v>
          </cell>
          <cell r="AG237" t="str">
            <v>Luva de emenda com rosca cônica - D = 16 mm</v>
          </cell>
          <cell r="AH237" t="str">
            <v>un</v>
          </cell>
          <cell r="AI237">
            <v>15.065200000000001</v>
          </cell>
        </row>
        <row r="238">
          <cell r="C238" t="str">
            <v>Quantidade</v>
          </cell>
          <cell r="D238" t="str">
            <v>Unidade</v>
          </cell>
          <cell r="E238" t="str">
            <v>DMT</v>
          </cell>
          <cell r="I238" t="str">
            <v>Custo Unitário</v>
          </cell>
          <cell r="R238" t="str">
            <v>E9633</v>
          </cell>
          <cell r="S238" t="str">
            <v>Conjunto vibratório para tubos de concreto com encaixe PB e 3 jogos de fôrmas - D = 30 cm - 2,2 kW</v>
          </cell>
          <cell r="T238">
            <v>41369.438600000001</v>
          </cell>
          <cell r="U238">
            <v>5.5159000000000002</v>
          </cell>
          <cell r="V238">
            <v>0.65159999999999996</v>
          </cell>
          <cell r="W238">
            <v>0</v>
          </cell>
          <cell r="X238">
            <v>4.1368999999999998</v>
          </cell>
          <cell r="Y238">
            <v>0</v>
          </cell>
          <cell r="Z238">
            <v>0</v>
          </cell>
          <cell r="AA238">
            <v>10.304399999999999</v>
          </cell>
          <cell r="AB238">
            <v>6.1675000000000004</v>
          </cell>
          <cell r="AF238" t="str">
            <v>M0472</v>
          </cell>
          <cell r="AG238" t="str">
            <v>Luva de emenda com rosca cônica - D = 20 mm</v>
          </cell>
          <cell r="AH238" t="str">
            <v>un</v>
          </cell>
          <cell r="AI238">
            <v>19.441299999999998</v>
          </cell>
        </row>
        <row r="239">
          <cell r="E239" t="str">
            <v>LN</v>
          </cell>
          <cell r="F239" t="str">
            <v>RP</v>
          </cell>
          <cell r="G239" t="str">
            <v>P</v>
          </cell>
          <cell r="R239" t="str">
            <v>E9634</v>
          </cell>
          <cell r="S239" t="str">
            <v>Conjunto vibratório para tubos de concreto com encaixe PB e 3 jogos de fôrmas - D = 40 cm - 2,2 kW</v>
          </cell>
          <cell r="T239">
            <v>45019.355600000003</v>
          </cell>
          <cell r="U239">
            <v>6.0026000000000002</v>
          </cell>
          <cell r="V239">
            <v>0.70909999999999995</v>
          </cell>
          <cell r="W239">
            <v>0</v>
          </cell>
          <cell r="X239">
            <v>4.5019</v>
          </cell>
          <cell r="Y239">
            <v>0</v>
          </cell>
          <cell r="Z239">
            <v>0</v>
          </cell>
          <cell r="AA239">
            <v>11.2136</v>
          </cell>
          <cell r="AB239">
            <v>6.7117000000000004</v>
          </cell>
          <cell r="AF239" t="str">
            <v>M0481</v>
          </cell>
          <cell r="AG239" t="str">
            <v>Luva de emenda com rosca cônica - D = 25 mm</v>
          </cell>
          <cell r="AH239" t="str">
            <v>un</v>
          </cell>
          <cell r="AI239">
            <v>38.941800000000001</v>
          </cell>
        </row>
        <row r="240">
          <cell r="C240">
            <v>1.17E-3</v>
          </cell>
          <cell r="D240" t="str">
            <v>tkm</v>
          </cell>
          <cell r="E240">
            <v>5914449</v>
          </cell>
          <cell r="F240">
            <v>5914464</v>
          </cell>
          <cell r="G240">
            <v>5914479</v>
          </cell>
          <cell r="R240" t="str">
            <v>E9635</v>
          </cell>
          <cell r="S240" t="str">
            <v>Draga de sucção e recalque com potência da bomba de 177 kW e do cortador de 30 kW</v>
          </cell>
          <cell r="T240">
            <v>5272005.5130000003</v>
          </cell>
          <cell r="U240">
            <v>41.1875</v>
          </cell>
          <cell r="V240">
            <v>15.1364</v>
          </cell>
          <cell r="W240">
            <v>0</v>
          </cell>
          <cell r="X240">
            <v>91.527900000000002</v>
          </cell>
          <cell r="Y240">
            <v>85.013099999999994</v>
          </cell>
          <cell r="Z240">
            <v>66.921499999999995</v>
          </cell>
          <cell r="AA240">
            <v>299.78640000000001</v>
          </cell>
          <cell r="AB240">
            <v>123.2454</v>
          </cell>
          <cell r="AF240" t="str">
            <v>M0482</v>
          </cell>
          <cell r="AG240" t="str">
            <v>Cortiça - E = 10 mm</v>
          </cell>
          <cell r="AH240" t="str">
            <v>m²</v>
          </cell>
          <cell r="AI240">
            <v>47.186399999999999</v>
          </cell>
        </row>
        <row r="241">
          <cell r="C241">
            <v>0.85584000000000005</v>
          </cell>
          <cell r="D241" t="str">
            <v>tkm</v>
          </cell>
          <cell r="E241">
            <v>5914359</v>
          </cell>
          <cell r="F241">
            <v>5914374</v>
          </cell>
          <cell r="G241">
            <v>5914389</v>
          </cell>
          <cell r="R241" t="str">
            <v>E9636</v>
          </cell>
          <cell r="S241" t="str">
            <v>Draga de sucção e recalque com potência da bomba de 447 kW e do cortador de 52 kW</v>
          </cell>
          <cell r="T241">
            <v>7498690.8439999996</v>
          </cell>
          <cell r="U241">
            <v>58.583500000000001</v>
          </cell>
          <cell r="V241">
            <v>21.529399999999999</v>
          </cell>
          <cell r="W241">
            <v>0</v>
          </cell>
          <cell r="X241">
            <v>130.18559999999999</v>
          </cell>
          <cell r="Y241">
            <v>214.69409999999999</v>
          </cell>
          <cell r="Z241">
            <v>66.921499999999995</v>
          </cell>
          <cell r="AA241">
            <v>491.91410000000002</v>
          </cell>
          <cell r="AB241">
            <v>147.03440000000001</v>
          </cell>
          <cell r="AF241" t="str">
            <v>M0502</v>
          </cell>
          <cell r="AG241" t="str">
            <v>Luva de emenda com rosca cônica - D = 32 mm</v>
          </cell>
          <cell r="AH241" t="str">
            <v>un</v>
          </cell>
          <cell r="AI241">
            <v>51.84</v>
          </cell>
        </row>
        <row r="242">
          <cell r="C242">
            <v>0.55130999999999997</v>
          </cell>
          <cell r="D242" t="str">
            <v>tkm</v>
          </cell>
          <cell r="E242">
            <v>5914359</v>
          </cell>
          <cell r="F242">
            <v>5914374</v>
          </cell>
          <cell r="G242">
            <v>5914389</v>
          </cell>
          <cell r="R242" t="str">
            <v>E9637</v>
          </cell>
          <cell r="S242" t="str">
            <v>Draga de sucção e recalque com potência da bomba de 746 kW e do cortador de 110 kW</v>
          </cell>
          <cell r="T242">
            <v>12684858.039999999</v>
          </cell>
          <cell r="U242">
            <v>99.100499999999997</v>
          </cell>
          <cell r="V242">
            <v>36.419400000000003</v>
          </cell>
          <cell r="W242">
            <v>0</v>
          </cell>
          <cell r="X242">
            <v>220.22319999999999</v>
          </cell>
          <cell r="Y242">
            <v>358.30380000000002</v>
          </cell>
          <cell r="Z242">
            <v>86.013300000000001</v>
          </cell>
          <cell r="AA242">
            <v>800.06020000000001</v>
          </cell>
          <cell r="AB242">
            <v>221.53319999999999</v>
          </cell>
          <cell r="AF242" t="str">
            <v>M0506</v>
          </cell>
          <cell r="AG242" t="str">
            <v>Broca de widia - D = 8 mm</v>
          </cell>
          <cell r="AH242" t="str">
            <v>un</v>
          </cell>
          <cell r="AI242">
            <v>5.0061</v>
          </cell>
        </row>
        <row r="243">
          <cell r="C243">
            <v>0.55130999999999997</v>
          </cell>
          <cell r="D243" t="str">
            <v>tkm</v>
          </cell>
          <cell r="E243">
            <v>5914359</v>
          </cell>
          <cell r="F243">
            <v>5914374</v>
          </cell>
          <cell r="G243">
            <v>5914389</v>
          </cell>
          <cell r="R243" t="str">
            <v>E9638</v>
          </cell>
          <cell r="S243" t="str">
            <v>Draga de sucção e recalque com potência da bomba de 1.350 kW e do cortador de 170 kW</v>
          </cell>
          <cell r="T243">
            <v>19287027.399999999</v>
          </cell>
          <cell r="U243">
            <v>150.6799</v>
          </cell>
          <cell r="V243">
            <v>55.374899999999997</v>
          </cell>
          <cell r="W243">
            <v>0</v>
          </cell>
          <cell r="X243">
            <v>334.8442</v>
          </cell>
          <cell r="Y243">
            <v>648.40499999999997</v>
          </cell>
          <cell r="Z243">
            <v>86.013300000000001</v>
          </cell>
          <cell r="AA243">
            <v>1275.3172999999999</v>
          </cell>
          <cell r="AB243">
            <v>292.06810000000002</v>
          </cell>
          <cell r="AF243" t="str">
            <v>M0511</v>
          </cell>
          <cell r="AG243" t="str">
            <v>Granalha de aço</v>
          </cell>
          <cell r="AH243" t="str">
            <v>kg</v>
          </cell>
          <cell r="AI243">
            <v>5.0408999999999997</v>
          </cell>
        </row>
        <row r="244">
          <cell r="C244">
            <v>0.39151999999999998</v>
          </cell>
          <cell r="D244" t="str">
            <v>tkm</v>
          </cell>
          <cell r="E244">
            <v>5914449</v>
          </cell>
          <cell r="F244">
            <v>5914464</v>
          </cell>
          <cell r="G244">
            <v>5914479</v>
          </cell>
          <cell r="R244" t="str">
            <v>E9639</v>
          </cell>
          <cell r="S244" t="str">
            <v>Barco hotel com capacidade para 30 pessoas - 2 x 150 HP</v>
          </cell>
          <cell r="T244">
            <v>2500000</v>
          </cell>
          <cell r="U244">
            <v>26.041699999999999</v>
          </cell>
          <cell r="V244">
            <v>5.9245000000000001</v>
          </cell>
          <cell r="W244">
            <v>0</v>
          </cell>
          <cell r="X244">
            <v>57.870399999999997</v>
          </cell>
          <cell r="Y244">
            <v>136.27709999999999</v>
          </cell>
          <cell r="Z244">
            <v>112.74979999999999</v>
          </cell>
          <cell r="AA244">
            <v>338.86349999999999</v>
          </cell>
          <cell r="AB244">
            <v>144.71600000000001</v>
          </cell>
          <cell r="AF244" t="str">
            <v>M0512</v>
          </cell>
          <cell r="AG244" t="str">
            <v>Bico Venturi longo de 8 mm</v>
          </cell>
          <cell r="AH244" t="str">
            <v>un</v>
          </cell>
          <cell r="AI244">
            <v>554.34739999999999</v>
          </cell>
        </row>
        <row r="245">
          <cell r="C245" t="str">
            <v>Custo unitário total de transporte</v>
          </cell>
          <cell r="R245" t="str">
            <v>E9640</v>
          </cell>
          <cell r="S245" t="str">
            <v>Compressor de ar portátil de 71 PCM - 15 kW</v>
          </cell>
          <cell r="T245">
            <v>50606.7163</v>
          </cell>
          <cell r="U245">
            <v>3.3738000000000001</v>
          </cell>
          <cell r="V245">
            <v>0.46489999999999998</v>
          </cell>
          <cell r="W245">
            <v>0</v>
          </cell>
          <cell r="X245">
            <v>3.3738000000000001</v>
          </cell>
          <cell r="Y245">
            <v>8.1651000000000007</v>
          </cell>
          <cell r="Z245">
            <v>0</v>
          </cell>
          <cell r="AA245">
            <v>15.377599999999999</v>
          </cell>
          <cell r="AB245">
            <v>3.8386999999999998</v>
          </cell>
          <cell r="AF245" t="str">
            <v>M0521</v>
          </cell>
          <cell r="AG245" t="str">
            <v>Laminado elastoplástico de 1,5 mm</v>
          </cell>
          <cell r="AH245" t="str">
            <v>m²</v>
          </cell>
          <cell r="AI245">
            <v>259.62310000000002</v>
          </cell>
        </row>
        <row r="246">
          <cell r="C246">
            <v>1107900</v>
          </cell>
          <cell r="D246" t="str">
            <v>m³</v>
          </cell>
          <cell r="E246" t="str">
            <v>Custo unitário direto total</v>
          </cell>
          <cell r="I246">
            <v>347.67375491063535</v>
          </cell>
          <cell r="R246" t="str">
            <v>E9641</v>
          </cell>
          <cell r="S246" t="str">
            <v>Compressor de ar portátil de 159 PCM - 33 kW</v>
          </cell>
          <cell r="T246">
            <v>82206.407000000007</v>
          </cell>
          <cell r="U246">
            <v>5.4804000000000004</v>
          </cell>
          <cell r="V246">
            <v>0.75529999999999997</v>
          </cell>
          <cell r="W246">
            <v>0</v>
          </cell>
          <cell r="X246">
            <v>5.4804000000000004</v>
          </cell>
          <cell r="Y246">
            <v>17.963200000000001</v>
          </cell>
          <cell r="Z246">
            <v>0</v>
          </cell>
          <cell r="AA246">
            <v>29.679300000000001</v>
          </cell>
          <cell r="AB246">
            <v>6.2356999999999996</v>
          </cell>
          <cell r="AF246" t="str">
            <v>M0532</v>
          </cell>
          <cell r="AG246" t="str">
            <v>Escora metálica regulável telescópica para tunnel liner</v>
          </cell>
          <cell r="AH246" t="str">
            <v>kg</v>
          </cell>
          <cell r="AI246">
            <v>11.1724</v>
          </cell>
        </row>
        <row r="247">
          <cell r="R247" t="str">
            <v>E9642</v>
          </cell>
          <cell r="S247" t="str">
            <v>Perfuratriz hidráulica sobre esteiras para estaca raiz - 56 kW</v>
          </cell>
          <cell r="T247">
            <v>793518.72340000002</v>
          </cell>
          <cell r="U247">
            <v>52.901200000000003</v>
          </cell>
          <cell r="V247">
            <v>7.2904999999999998</v>
          </cell>
          <cell r="W247">
            <v>0</v>
          </cell>
          <cell r="X247">
            <v>52.901200000000003</v>
          </cell>
          <cell r="Y247">
            <v>17.9312</v>
          </cell>
          <cell r="Z247">
            <v>27.014800000000001</v>
          </cell>
          <cell r="AA247">
            <v>158.03890000000001</v>
          </cell>
          <cell r="AB247">
            <v>87.206500000000005</v>
          </cell>
          <cell r="AF247" t="str">
            <v>M0533</v>
          </cell>
          <cell r="AG247" t="str">
            <v>Escora tubular galvanizada regulável de 3,0 m a 4,5 m e capacidade de 2.100 a 750 kg</v>
          </cell>
          <cell r="AH247" t="str">
            <v>un</v>
          </cell>
          <cell r="AI247">
            <v>97.62</v>
          </cell>
        </row>
        <row r="248">
          <cell r="R248" t="str">
            <v>E9643</v>
          </cell>
          <cell r="S248" t="str">
            <v>Equipamento de pintura a ar comprimido de pistola com caneca com capacidade de 1.000 ml e compressor de 1,5 kW</v>
          </cell>
          <cell r="T248">
            <v>2585.4067</v>
          </cell>
          <cell r="U248">
            <v>0.23269999999999999</v>
          </cell>
          <cell r="V248">
            <v>2.4400000000000002E-2</v>
          </cell>
          <cell r="W248">
            <v>0</v>
          </cell>
          <cell r="X248">
            <v>0.1293</v>
          </cell>
          <cell r="Y248">
            <v>0</v>
          </cell>
          <cell r="Z248">
            <v>0</v>
          </cell>
          <cell r="AA248">
            <v>0.38640000000000002</v>
          </cell>
          <cell r="AB248">
            <v>0.2571</v>
          </cell>
          <cell r="AF248" t="str">
            <v>M0534</v>
          </cell>
          <cell r="AG248" t="str">
            <v>Escora tubular galvanizada regulável de 1,8 m a 3,1 m e capacidade de 3.200 a 1.600 kg</v>
          </cell>
          <cell r="AH248" t="str">
            <v>un</v>
          </cell>
          <cell r="AI248">
            <v>82.123800000000003</v>
          </cell>
        </row>
        <row r="249">
          <cell r="I249" t="str">
            <v>DNIT</v>
          </cell>
          <cell r="R249" t="str">
            <v>E9646</v>
          </cell>
          <cell r="S249" t="str">
            <v>Compressor de ar portátil de 124 PCM - 27 kW</v>
          </cell>
          <cell r="T249">
            <v>77176.022200000007</v>
          </cell>
          <cell r="U249">
            <v>5.1451000000000002</v>
          </cell>
          <cell r="V249">
            <v>0.70909999999999995</v>
          </cell>
          <cell r="W249">
            <v>0</v>
          </cell>
          <cell r="X249">
            <v>5.1451000000000002</v>
          </cell>
          <cell r="Y249">
            <v>14.6972</v>
          </cell>
          <cell r="Z249">
            <v>0</v>
          </cell>
          <cell r="AA249">
            <v>25.6965</v>
          </cell>
          <cell r="AB249">
            <v>5.8541999999999996</v>
          </cell>
          <cell r="AF249" t="str">
            <v>M0536</v>
          </cell>
          <cell r="AG249" t="str">
            <v>Quadro tubular contraventado com acessórios de 1,0 x 1,0 x 1,2 m e capacidade de 6 t por poste</v>
          </cell>
          <cell r="AH249" t="str">
            <v>un</v>
          </cell>
          <cell r="AI249">
            <v>375.61</v>
          </cell>
        </row>
        <row r="250">
          <cell r="R250" t="str">
            <v>E9647</v>
          </cell>
          <cell r="S250" t="str">
            <v>Compactador manual com soquete vibratório - 4,1 kW</v>
          </cell>
          <cell r="T250">
            <v>7189.2771000000002</v>
          </cell>
          <cell r="U250">
            <v>0.4793</v>
          </cell>
          <cell r="V250">
            <v>6.6100000000000006E-2</v>
          </cell>
          <cell r="W250">
            <v>0</v>
          </cell>
          <cell r="X250">
            <v>0.4793</v>
          </cell>
          <cell r="Y250">
            <v>5.5160999999999998</v>
          </cell>
          <cell r="Z250">
            <v>0</v>
          </cell>
          <cell r="AA250">
            <v>6.5407999999999999</v>
          </cell>
          <cell r="AB250">
            <v>0.5454</v>
          </cell>
          <cell r="AF250" t="str">
            <v>M0560</v>
          </cell>
          <cell r="AG250" t="str">
            <v>Desmoldante para formas</v>
          </cell>
          <cell r="AH250" t="str">
            <v>l</v>
          </cell>
          <cell r="AI250">
            <v>5.0955000000000004</v>
          </cell>
        </row>
        <row r="251">
          <cell r="D251" t="str">
            <v>Outubro/2019</v>
          </cell>
          <cell r="G251" t="str">
            <v>Produção da equipe</v>
          </cell>
          <cell r="H251">
            <v>1</v>
          </cell>
          <cell r="I251" t="str">
            <v>kg</v>
          </cell>
          <cell r="R251" t="str">
            <v>E9648</v>
          </cell>
          <cell r="S251" t="str">
            <v>Compressor de ar portátil de 896 PCM - 213 kW</v>
          </cell>
          <cell r="T251">
            <v>363067.14750000002</v>
          </cell>
          <cell r="U251">
            <v>24.204499999999999</v>
          </cell>
          <cell r="V251">
            <v>3.3357000000000001</v>
          </cell>
          <cell r="W251">
            <v>0</v>
          </cell>
          <cell r="X251">
            <v>24.204499999999999</v>
          </cell>
          <cell r="Y251">
            <v>115.9444</v>
          </cell>
          <cell r="Z251">
            <v>0</v>
          </cell>
          <cell r="AA251">
            <v>167.6891</v>
          </cell>
          <cell r="AB251">
            <v>27.540199999999999</v>
          </cell>
          <cell r="AF251" t="str">
            <v>M0600</v>
          </cell>
          <cell r="AG251" t="str">
            <v>Ponteiro de martelo demolidor de 1,2 m</v>
          </cell>
          <cell r="AH251" t="str">
            <v>un</v>
          </cell>
          <cell r="AI251">
            <v>60.971600000000002</v>
          </cell>
        </row>
        <row r="252">
          <cell r="H252" t="str">
            <v>Valores em reais (R$)</v>
          </cell>
          <cell r="R252" t="str">
            <v>E9649</v>
          </cell>
          <cell r="S252" t="str">
            <v>Compressor de ar portátil de 197 PCM - 55 kW</v>
          </cell>
          <cell r="T252">
            <v>141734.03219999999</v>
          </cell>
          <cell r="U252">
            <v>9.4489000000000001</v>
          </cell>
          <cell r="V252">
            <v>1.3022</v>
          </cell>
          <cell r="W252">
            <v>0</v>
          </cell>
          <cell r="X252">
            <v>9.4489000000000001</v>
          </cell>
          <cell r="Y252">
            <v>29.938700000000001</v>
          </cell>
          <cell r="Z252">
            <v>0</v>
          </cell>
          <cell r="AA252">
            <v>50.1387</v>
          </cell>
          <cell r="AB252">
            <v>10.751099999999999</v>
          </cell>
          <cell r="AF252" t="str">
            <v>M0614</v>
          </cell>
          <cell r="AG252" t="str">
            <v>Concreto usinado fctmk = 4,5 MPa (comercial)</v>
          </cell>
          <cell r="AH252" t="str">
            <v>m³</v>
          </cell>
          <cell r="AI252">
            <v>0</v>
          </cell>
        </row>
        <row r="253">
          <cell r="C253" t="str">
            <v>Quantidade</v>
          </cell>
          <cell r="D253" t="str">
            <v>Utilização</v>
          </cell>
          <cell r="F253" t="str">
            <v>Custo Horário</v>
          </cell>
          <cell r="I253" t="str">
            <v>Custo</v>
          </cell>
          <cell r="R253" t="str">
            <v>E9650</v>
          </cell>
          <cell r="S253" t="str">
            <v>Guindaste sobre esteiras com martelo hidráulico de 2.600 kg - 220 kW</v>
          </cell>
          <cell r="T253">
            <v>2905520.86</v>
          </cell>
          <cell r="U253">
            <v>101.6932</v>
          </cell>
          <cell r="V253">
            <v>25.1691</v>
          </cell>
          <cell r="W253">
            <v>0</v>
          </cell>
          <cell r="X253">
            <v>145.27600000000001</v>
          </cell>
          <cell r="Y253">
            <v>35.222000000000001</v>
          </cell>
          <cell r="Z253">
            <v>35.442</v>
          </cell>
          <cell r="AA253">
            <v>342.8023</v>
          </cell>
          <cell r="AB253">
            <v>162.30430000000001</v>
          </cell>
          <cell r="AF253" t="str">
            <v>M0615</v>
          </cell>
          <cell r="AG253" t="str">
            <v>Aditivo incorporador de ar tipo Cemix-Air ou similar</v>
          </cell>
          <cell r="AH253" t="str">
            <v>kg</v>
          </cell>
          <cell r="AI253">
            <v>4.9061000000000003</v>
          </cell>
        </row>
        <row r="254">
          <cell r="D254" t="str">
            <v>Operativa</v>
          </cell>
          <cell r="E254" t="str">
            <v>Improdutiva</v>
          </cell>
          <cell r="F254" t="str">
            <v>Produtivo</v>
          </cell>
          <cell r="G254" t="str">
            <v>Improdutivo</v>
          </cell>
          <cell r="I254" t="str">
            <v>Horário Total</v>
          </cell>
          <cell r="R254" t="str">
            <v>E9651</v>
          </cell>
          <cell r="S254" t="str">
            <v>Guindaste sobre esteiras com Hammer Grab - 220 kW</v>
          </cell>
          <cell r="T254">
            <v>2515705.3470000001</v>
          </cell>
          <cell r="U254">
            <v>88.049700000000001</v>
          </cell>
          <cell r="V254">
            <v>21.792300000000001</v>
          </cell>
          <cell r="W254">
            <v>0</v>
          </cell>
          <cell r="X254">
            <v>125.78530000000001</v>
          </cell>
          <cell r="Y254">
            <v>35.222000000000001</v>
          </cell>
          <cell r="Z254">
            <v>35.442</v>
          </cell>
          <cell r="AA254">
            <v>306.29129999999998</v>
          </cell>
          <cell r="AB254">
            <v>145.28399999999999</v>
          </cell>
          <cell r="AF254" t="str">
            <v>M0646</v>
          </cell>
          <cell r="AG254" t="str">
            <v>Estaca pré-moldada com capacidade de 100 t</v>
          </cell>
          <cell r="AH254" t="str">
            <v>m</v>
          </cell>
          <cell r="AI254">
            <v>160.2157</v>
          </cell>
        </row>
        <row r="255">
          <cell r="G255" t="str">
            <v>Custo horário total de equipamentos</v>
          </cell>
          <cell r="R255" t="str">
            <v>E9652</v>
          </cell>
          <cell r="S255" t="str">
            <v>Compressor de ar portátil de 1.146 PCM - 369 kW</v>
          </cell>
          <cell r="T255">
            <v>517044.6985</v>
          </cell>
          <cell r="U255">
            <v>34.4696</v>
          </cell>
          <cell r="V255">
            <v>4.7503000000000002</v>
          </cell>
          <cell r="W255">
            <v>0</v>
          </cell>
          <cell r="X255">
            <v>34.4696</v>
          </cell>
          <cell r="Y255">
            <v>200.86150000000001</v>
          </cell>
          <cell r="Z255">
            <v>0</v>
          </cell>
          <cell r="AA255">
            <v>274.55099999999999</v>
          </cell>
          <cell r="AB255">
            <v>39.219900000000003</v>
          </cell>
          <cell r="AF255" t="str">
            <v>M0647</v>
          </cell>
          <cell r="AG255" t="str">
            <v>Estaca pré-moldada com capacidade de 25 t</v>
          </cell>
          <cell r="AH255" t="str">
            <v>m</v>
          </cell>
          <cell r="AI255">
            <v>61.034500000000001</v>
          </cell>
        </row>
        <row r="256">
          <cell r="C256" t="str">
            <v>Quantidade</v>
          </cell>
          <cell r="D256" t="str">
            <v>Unidade</v>
          </cell>
          <cell r="E256" t="str">
            <v>Custo Horário</v>
          </cell>
          <cell r="G256" t="str">
            <v>Custo Horário Total</v>
          </cell>
          <cell r="R256" t="str">
            <v>E9653</v>
          </cell>
          <cell r="S256" t="str">
            <v>Guindaste sobre esteiras com trado com bits para material de 1ª categoria - 220 kW</v>
          </cell>
          <cell r="T256">
            <v>2453538.9249999998</v>
          </cell>
          <cell r="U256">
            <v>85.873900000000006</v>
          </cell>
          <cell r="V256">
            <v>21.253799999999998</v>
          </cell>
          <cell r="W256">
            <v>0</v>
          </cell>
          <cell r="X256">
            <v>122.6769</v>
          </cell>
          <cell r="Y256">
            <v>35.222000000000001</v>
          </cell>
          <cell r="Z256">
            <v>35.442</v>
          </cell>
          <cell r="AA256">
            <v>300.46859999999998</v>
          </cell>
          <cell r="AB256">
            <v>142.56970000000001</v>
          </cell>
          <cell r="AF256" t="str">
            <v>M0648</v>
          </cell>
          <cell r="AG256" t="str">
            <v>Estaca pré-moldada com capacidade de 40 t</v>
          </cell>
          <cell r="AH256" t="str">
            <v>m</v>
          </cell>
          <cell r="AI256">
            <v>82.227099999999993</v>
          </cell>
        </row>
        <row r="257">
          <cell r="C257">
            <v>0.09</v>
          </cell>
          <cell r="D257" t="str">
            <v>h</v>
          </cell>
          <cell r="F257">
            <v>21.672799999999999</v>
          </cell>
          <cell r="I257">
            <v>1.9505519999999998</v>
          </cell>
          <cell r="R257" t="str">
            <v>E9654</v>
          </cell>
          <cell r="S257" t="str">
            <v>Guindaste sobre esteiras com trado com bits para material de 2ª categoria - 220 kW</v>
          </cell>
          <cell r="T257">
            <v>2453538.9249999998</v>
          </cell>
          <cell r="U257">
            <v>85.873900000000006</v>
          </cell>
          <cell r="V257">
            <v>21.253799999999998</v>
          </cell>
          <cell r="W257">
            <v>0</v>
          </cell>
          <cell r="X257">
            <v>122.6769</v>
          </cell>
          <cell r="Y257">
            <v>35.222000000000001</v>
          </cell>
          <cell r="Z257">
            <v>35.442</v>
          </cell>
          <cell r="AA257">
            <v>300.46859999999998</v>
          </cell>
          <cell r="AB257">
            <v>142.56970000000001</v>
          </cell>
          <cell r="AF257" t="str">
            <v>M0649</v>
          </cell>
          <cell r="AG257" t="str">
            <v>Estaca pré-moldada com capacidade de 60 t</v>
          </cell>
          <cell r="AH257" t="str">
            <v>m</v>
          </cell>
          <cell r="AI257">
            <v>112.7805</v>
          </cell>
        </row>
        <row r="258">
          <cell r="C258">
            <v>0.09</v>
          </cell>
          <cell r="D258" t="str">
            <v>h</v>
          </cell>
          <cell r="F258">
            <v>24.3476</v>
          </cell>
          <cell r="I258">
            <v>2.191284</v>
          </cell>
          <cell r="R258" t="str">
            <v>E9655</v>
          </cell>
          <cell r="S258" t="str">
            <v>Guindaste sobre esteiras com trado com bits para material de 3ª categoria - 220 kW</v>
          </cell>
          <cell r="T258">
            <v>2471250.7009999999</v>
          </cell>
          <cell r="U258">
            <v>86.493799999999993</v>
          </cell>
          <cell r="V258">
            <v>21.4072</v>
          </cell>
          <cell r="W258">
            <v>0</v>
          </cell>
          <cell r="X258">
            <v>123.5625</v>
          </cell>
          <cell r="Y258">
            <v>35.222000000000001</v>
          </cell>
          <cell r="Z258">
            <v>35.442</v>
          </cell>
          <cell r="AA258">
            <v>302.1275</v>
          </cell>
          <cell r="AB258">
            <v>143.34299999999999</v>
          </cell>
          <cell r="AF258" t="str">
            <v>M0650</v>
          </cell>
          <cell r="AG258" t="str">
            <v>Estaca pré-moldada com capacidade de 75 t</v>
          </cell>
          <cell r="AH258" t="str">
            <v>m</v>
          </cell>
          <cell r="AI258">
            <v>160.2157</v>
          </cell>
        </row>
        <row r="259">
          <cell r="C259" t="str">
            <v>Custo horário total de mão de obra</v>
          </cell>
          <cell r="H259">
            <v>4.1418359999999996</v>
          </cell>
          <cell r="R259" t="str">
            <v>E9656</v>
          </cell>
          <cell r="S259" t="str">
            <v>Guindaste sobre esteiras com caçamba para material de 1ª categoria - 220 kW</v>
          </cell>
          <cell r="T259">
            <v>2440211.2919999999</v>
          </cell>
          <cell r="U259">
            <v>85.407399999999996</v>
          </cell>
          <cell r="V259">
            <v>21.138300000000001</v>
          </cell>
          <cell r="W259">
            <v>0</v>
          </cell>
          <cell r="X259">
            <v>122.0106</v>
          </cell>
          <cell r="Y259">
            <v>35.222000000000001</v>
          </cell>
          <cell r="Z259">
            <v>35.442</v>
          </cell>
          <cell r="AA259">
            <v>299.22030000000001</v>
          </cell>
          <cell r="AB259">
            <v>141.98769999999999</v>
          </cell>
          <cell r="AF259" t="str">
            <v>M0666</v>
          </cell>
          <cell r="AG259" t="str">
            <v>Martelo de fundo DTH - D = 3"</v>
          </cell>
          <cell r="AH259" t="str">
            <v>un</v>
          </cell>
          <cell r="AI259">
            <v>7425.8680000000004</v>
          </cell>
        </row>
        <row r="260">
          <cell r="C260" t="str">
            <v>Custo horário total de execução</v>
          </cell>
          <cell r="I260">
            <v>4.1418359999999996</v>
          </cell>
          <cell r="R260" t="str">
            <v>E9657</v>
          </cell>
          <cell r="S260" t="str">
            <v>Guindaste sobre esteiras com caçamba para material de 2ª categoria - 220 kW</v>
          </cell>
          <cell r="T260">
            <v>2440211.2919999999</v>
          </cell>
          <cell r="U260">
            <v>85.407399999999996</v>
          </cell>
          <cell r="V260">
            <v>21.138300000000001</v>
          </cell>
          <cell r="W260">
            <v>0</v>
          </cell>
          <cell r="X260">
            <v>122.0106</v>
          </cell>
          <cell r="Y260">
            <v>35.222000000000001</v>
          </cell>
          <cell r="Z260">
            <v>35.442</v>
          </cell>
          <cell r="AA260">
            <v>299.22030000000001</v>
          </cell>
          <cell r="AB260">
            <v>141.98769999999999</v>
          </cell>
          <cell r="AF260" t="str">
            <v>M0667</v>
          </cell>
          <cell r="AG260" t="str">
            <v>Martelo de fundo DTH - D = 5"</v>
          </cell>
          <cell r="AH260" t="str">
            <v>un</v>
          </cell>
          <cell r="AI260">
            <v>9037.4012000000002</v>
          </cell>
        </row>
        <row r="261">
          <cell r="C261" t="str">
            <v>Custo unitário de execução</v>
          </cell>
          <cell r="I261">
            <v>4.1418359999999996</v>
          </cell>
          <cell r="R261" t="str">
            <v>E9658</v>
          </cell>
          <cell r="S261" t="str">
            <v>Guindaste sobre esteiras com caçamba para material de 3ª categoria - 220 kW</v>
          </cell>
          <cell r="T261">
            <v>2440211.2919999999</v>
          </cell>
          <cell r="U261">
            <v>85.407399999999996</v>
          </cell>
          <cell r="V261">
            <v>21.138300000000001</v>
          </cell>
          <cell r="W261">
            <v>0</v>
          </cell>
          <cell r="X261">
            <v>122.0106</v>
          </cell>
          <cell r="Y261">
            <v>35.222000000000001</v>
          </cell>
          <cell r="Z261">
            <v>35.442</v>
          </cell>
          <cell r="AA261">
            <v>299.22030000000001</v>
          </cell>
          <cell r="AB261">
            <v>141.98769999999999</v>
          </cell>
          <cell r="AF261" t="str">
            <v>M0668</v>
          </cell>
          <cell r="AG261" t="str">
            <v>Martelo de fundo DTH - D = 6"</v>
          </cell>
          <cell r="AH261" t="str">
            <v>un</v>
          </cell>
          <cell r="AI261">
            <v>12378.9089</v>
          </cell>
        </row>
        <row r="262">
          <cell r="G262" t="str">
            <v>Custo do FIC</v>
          </cell>
          <cell r="R262" t="str">
            <v>E9659</v>
          </cell>
          <cell r="S262" t="str">
            <v>Campânula de ar comprimido com capacidade de 3 m³</v>
          </cell>
          <cell r="T262">
            <v>94215.6397</v>
          </cell>
          <cell r="U262">
            <v>5.8242000000000003</v>
          </cell>
          <cell r="V262">
            <v>1.2949999999999999</v>
          </cell>
          <cell r="W262">
            <v>0</v>
          </cell>
          <cell r="X262">
            <v>3.4260000000000002</v>
          </cell>
          <cell r="Y262">
            <v>0</v>
          </cell>
          <cell r="Z262">
            <v>21.640999999999998</v>
          </cell>
          <cell r="AA262">
            <v>32.186199999999999</v>
          </cell>
          <cell r="AB262">
            <v>28.760200000000001</v>
          </cell>
          <cell r="AF262" t="str">
            <v>M0669</v>
          </cell>
          <cell r="AG262" t="str">
            <v>Martelo de fundo DTH - D = 8"</v>
          </cell>
          <cell r="AH262" t="str">
            <v>un</v>
          </cell>
          <cell r="AI262">
            <v>24758.356</v>
          </cell>
        </row>
        <row r="263">
          <cell r="G263" t="str">
            <v>Custo do FIT</v>
          </cell>
          <cell r="R263" t="str">
            <v>E9660</v>
          </cell>
          <cell r="S263" t="str">
            <v>Guindaste sobre esteiras - 220 kW</v>
          </cell>
          <cell r="T263">
            <v>2373792.13</v>
          </cell>
          <cell r="U263">
            <v>83.082700000000003</v>
          </cell>
          <cell r="V263">
            <v>20.562999999999999</v>
          </cell>
          <cell r="W263">
            <v>0</v>
          </cell>
          <cell r="X263">
            <v>118.6896</v>
          </cell>
          <cell r="Y263">
            <v>35.222000000000001</v>
          </cell>
          <cell r="Z263">
            <v>35.442</v>
          </cell>
          <cell r="AA263">
            <v>292.99930000000001</v>
          </cell>
          <cell r="AB263">
            <v>139.08770000000001</v>
          </cell>
          <cell r="AF263" t="str">
            <v>M0673</v>
          </cell>
          <cell r="AG263" t="str">
            <v>Estaca pré-moldada de concreto centrifugado - D = 26 cm</v>
          </cell>
          <cell r="AH263" t="str">
            <v>m</v>
          </cell>
          <cell r="AI263">
            <v>90.956299999999999</v>
          </cell>
        </row>
        <row r="264">
          <cell r="C264" t="str">
            <v>Quantidade</v>
          </cell>
          <cell r="D264" t="str">
            <v>Unidade</v>
          </cell>
          <cell r="E264" t="str">
            <v>Preço Unitário</v>
          </cell>
          <cell r="G264" t="str">
            <v>Custo Unitário</v>
          </cell>
          <cell r="R264" t="str">
            <v>E9661</v>
          </cell>
          <cell r="S264" t="str">
            <v>Compressor de ar portátil de 189 PCM - 46 kW</v>
          </cell>
          <cell r="T264">
            <v>105699.2001</v>
          </cell>
          <cell r="U264">
            <v>7.0465999999999998</v>
          </cell>
          <cell r="V264">
            <v>0.97109999999999996</v>
          </cell>
          <cell r="W264">
            <v>0</v>
          </cell>
          <cell r="X264">
            <v>7.0465999999999998</v>
          </cell>
          <cell r="Y264">
            <v>25.0396</v>
          </cell>
          <cell r="Z264">
            <v>0</v>
          </cell>
          <cell r="AA264">
            <v>40.103900000000003</v>
          </cell>
          <cell r="AB264">
            <v>8.0176999999999996</v>
          </cell>
          <cell r="AF264" t="str">
            <v>M0677</v>
          </cell>
          <cell r="AG264" t="str">
            <v>Estaca pré-moldada de concreto centrifugado - D = 33 cm</v>
          </cell>
          <cell r="AH264" t="str">
            <v>m</v>
          </cell>
          <cell r="AI264">
            <v>102.09180000000001</v>
          </cell>
        </row>
        <row r="265">
          <cell r="C265">
            <v>1.1000000000000001</v>
          </cell>
          <cell r="D265" t="str">
            <v>kg</v>
          </cell>
          <cell r="F265">
            <v>3.5541</v>
          </cell>
          <cell r="I265">
            <v>3.9095100000000005</v>
          </cell>
          <cell r="R265" t="str">
            <v>E9662</v>
          </cell>
          <cell r="S265" t="str">
            <v>Equipamento para solda/corte com oxiacetileno</v>
          </cell>
          <cell r="T265">
            <v>5327.7488999999996</v>
          </cell>
          <cell r="U265">
            <v>0.42620000000000002</v>
          </cell>
          <cell r="V265">
            <v>5.0299999999999997E-2</v>
          </cell>
          <cell r="W265">
            <v>0</v>
          </cell>
          <cell r="X265">
            <v>0.42620000000000002</v>
          </cell>
          <cell r="Y265">
            <v>0</v>
          </cell>
          <cell r="Z265">
            <v>0</v>
          </cell>
          <cell r="AA265">
            <v>0.90269999999999995</v>
          </cell>
          <cell r="AB265">
            <v>0.47649999999999998</v>
          </cell>
          <cell r="AF265" t="str">
            <v>M0682</v>
          </cell>
          <cell r="AG265" t="str">
            <v>Aço em perfis ASTM A36</v>
          </cell>
          <cell r="AH265" t="str">
            <v>kg</v>
          </cell>
          <cell r="AI265">
            <v>5.1279000000000003</v>
          </cell>
        </row>
        <row r="266">
          <cell r="C266">
            <v>1.4999999999999999E-2</v>
          </cell>
          <cell r="D266" t="str">
            <v>kg</v>
          </cell>
          <cell r="F266">
            <v>6.9904999999999999</v>
          </cell>
          <cell r="I266">
            <v>0.10485749999999999</v>
          </cell>
          <cell r="R266" t="str">
            <v>E9668</v>
          </cell>
          <cell r="S266" t="str">
            <v>Fábrica de pré-moldado de concreto para guarda-corpo - 2,2 kW</v>
          </cell>
          <cell r="T266">
            <v>10340.8632</v>
          </cell>
          <cell r="U266">
            <v>1.3788</v>
          </cell>
          <cell r="V266">
            <v>0.16289999999999999</v>
          </cell>
          <cell r="W266">
            <v>0</v>
          </cell>
          <cell r="X266">
            <v>1.0341</v>
          </cell>
          <cell r="Y266">
            <v>0</v>
          </cell>
          <cell r="Z266">
            <v>0</v>
          </cell>
          <cell r="AA266">
            <v>2.5758000000000001</v>
          </cell>
          <cell r="AB266">
            <v>1.5417000000000001</v>
          </cell>
          <cell r="AF266" t="str">
            <v>M0686</v>
          </cell>
          <cell r="AG266" t="str">
            <v>Estaca pré-moldada de concreto centrifugado - D = 38 cm</v>
          </cell>
          <cell r="AH266" t="str">
            <v>m</v>
          </cell>
          <cell r="AI266">
            <v>145.34270000000001</v>
          </cell>
        </row>
        <row r="267">
          <cell r="C267" t="str">
            <v>Custo unitário total de material</v>
          </cell>
          <cell r="I267">
            <v>4.0143675000000005</v>
          </cell>
          <cell r="R267" t="str">
            <v>E9671</v>
          </cell>
          <cell r="S267" t="str">
            <v>Compressor de ar portátil de 748 PCM - 154 kW</v>
          </cell>
          <cell r="T267">
            <v>331803.0858</v>
          </cell>
          <cell r="U267">
            <v>22.120200000000001</v>
          </cell>
          <cell r="V267">
            <v>3.0484</v>
          </cell>
          <cell r="W267">
            <v>0</v>
          </cell>
          <cell r="X267">
            <v>22.120200000000001</v>
          </cell>
          <cell r="Y267">
            <v>83.828400000000002</v>
          </cell>
          <cell r="Z267">
            <v>0</v>
          </cell>
          <cell r="AA267">
            <v>131.1172</v>
          </cell>
          <cell r="AB267">
            <v>25.168600000000001</v>
          </cell>
          <cell r="AF267" t="str">
            <v>M0719</v>
          </cell>
          <cell r="AG267" t="str">
            <v>Diluente epóxi</v>
          </cell>
          <cell r="AH267" t="str">
            <v>l</v>
          </cell>
          <cell r="AI267">
            <v>28.1496</v>
          </cell>
        </row>
        <row r="268">
          <cell r="C268" t="str">
            <v>Quantidade</v>
          </cell>
          <cell r="D268" t="str">
            <v>Unidade</v>
          </cell>
          <cell r="E268" t="str">
            <v>Custo Unitário</v>
          </cell>
          <cell r="G268" t="str">
            <v>Custo Unitário</v>
          </cell>
          <cell r="R268" t="str">
            <v>E9673</v>
          </cell>
          <cell r="S268" t="str">
            <v>Equipamento de batimetria multifeixe</v>
          </cell>
          <cell r="T268">
            <v>982950</v>
          </cell>
          <cell r="U268">
            <v>31.594799999999999</v>
          </cell>
          <cell r="V268">
            <v>4.4233000000000002</v>
          </cell>
          <cell r="W268">
            <v>0</v>
          </cell>
          <cell r="X268">
            <v>35.105400000000003</v>
          </cell>
          <cell r="Y268">
            <v>0</v>
          </cell>
          <cell r="Z268">
            <v>44.028199999999998</v>
          </cell>
          <cell r="AA268">
            <v>115.15170000000001</v>
          </cell>
          <cell r="AB268">
            <v>80.046300000000002</v>
          </cell>
          <cell r="AF268" t="str">
            <v>M0720</v>
          </cell>
          <cell r="AG268" t="str">
            <v>Tinta epóxi para fundo branco</v>
          </cell>
          <cell r="AH268" t="str">
            <v>l</v>
          </cell>
          <cell r="AI268">
            <v>48.131999999999998</v>
          </cell>
        </row>
        <row r="269">
          <cell r="C269" t="str">
            <v>Custo total de atividades auxiliares</v>
          </cell>
          <cell r="R269" t="str">
            <v>E9674</v>
          </cell>
          <cell r="S269" t="str">
            <v>Equipamento de medição de descarga líquida com ADCP</v>
          </cell>
          <cell r="T269">
            <v>251649.15</v>
          </cell>
          <cell r="U269">
            <v>8.0886999999999993</v>
          </cell>
          <cell r="V269">
            <v>1.1324000000000001</v>
          </cell>
          <cell r="W269">
            <v>0</v>
          </cell>
          <cell r="X269">
            <v>8.9875000000000007</v>
          </cell>
          <cell r="Y269">
            <v>0</v>
          </cell>
          <cell r="Z269">
            <v>44.028199999999998</v>
          </cell>
          <cell r="AA269">
            <v>62.236800000000002</v>
          </cell>
          <cell r="AB269">
            <v>53.249299999999998</v>
          </cell>
          <cell r="AF269" t="str">
            <v>M0721</v>
          </cell>
          <cell r="AG269" t="str">
            <v>Fundo anticorrosivo zarcão</v>
          </cell>
          <cell r="AH269" t="str">
            <v>l</v>
          </cell>
          <cell r="AI269">
            <v>22.901299999999999</v>
          </cell>
        </row>
        <row r="270">
          <cell r="G270" t="str">
            <v>Subtotal</v>
          </cell>
          <cell r="R270" t="str">
            <v>E9675</v>
          </cell>
          <cell r="S270" t="str">
            <v>Martelete perfurador/rompedor elétrico - 1,5 kW</v>
          </cell>
          <cell r="T270">
            <v>3475.9717999999998</v>
          </cell>
          <cell r="U270">
            <v>0.27810000000000001</v>
          </cell>
          <cell r="V270">
            <v>3.2800000000000003E-2</v>
          </cell>
          <cell r="W270">
            <v>0</v>
          </cell>
          <cell r="X270">
            <v>0.27810000000000001</v>
          </cell>
          <cell r="Y270">
            <v>0</v>
          </cell>
          <cell r="Z270">
            <v>0</v>
          </cell>
          <cell r="AA270">
            <v>0.58899999999999997</v>
          </cell>
          <cell r="AB270">
            <v>0.31090000000000001</v>
          </cell>
          <cell r="AF270" t="str">
            <v>M0722</v>
          </cell>
          <cell r="AG270" t="str">
            <v>Estaca pré-moldada de concreto centrifugado - D = 42 cm</v>
          </cell>
          <cell r="AH270" t="str">
            <v>m</v>
          </cell>
          <cell r="AI270">
            <v>148.63140000000001</v>
          </cell>
        </row>
        <row r="271">
          <cell r="C271" t="str">
            <v>Código</v>
          </cell>
          <cell r="D271" t="str">
            <v>Quantidade</v>
          </cell>
          <cell r="E271" t="str">
            <v>Unidade</v>
          </cell>
          <cell r="F271" t="str">
            <v>Custo Unitário</v>
          </cell>
          <cell r="H271" t="str">
            <v>Custo Unitário</v>
          </cell>
          <cell r="R271" t="str">
            <v>E9676</v>
          </cell>
          <cell r="S271" t="str">
            <v>Embarcação de apoio - 120 HP</v>
          </cell>
          <cell r="T271">
            <v>195850.95</v>
          </cell>
          <cell r="U271">
            <v>3.0602</v>
          </cell>
          <cell r="V271">
            <v>0.58909999999999996</v>
          </cell>
          <cell r="W271">
            <v>0</v>
          </cell>
          <cell r="X271">
            <v>3.4001999999999999</v>
          </cell>
          <cell r="Y271">
            <v>138.38399999999999</v>
          </cell>
          <cell r="Z271">
            <v>28.914300000000001</v>
          </cell>
          <cell r="AA271">
            <v>174.34780000000001</v>
          </cell>
          <cell r="AB271">
            <v>32.563600000000001</v>
          </cell>
          <cell r="AF271" t="str">
            <v>M0729</v>
          </cell>
          <cell r="AG271" t="str">
            <v>Fixa cal tipo Globo Fix ou similar</v>
          </cell>
          <cell r="AH271" t="str">
            <v>l</v>
          </cell>
          <cell r="AI271">
            <v>7.6486000000000001</v>
          </cell>
        </row>
        <row r="272">
          <cell r="C272">
            <v>5914655</v>
          </cell>
          <cell r="D272">
            <v>1.1000000000000001E-3</v>
          </cell>
          <cell r="E272" t="str">
            <v>t</v>
          </cell>
          <cell r="G272">
            <v>22.49</v>
          </cell>
          <cell r="I272">
            <v>2.4739000000000001E-2</v>
          </cell>
          <cell r="R272" t="str">
            <v>E9677</v>
          </cell>
          <cell r="S272" t="str">
            <v>Martelete perfurador/rompedor a ar comprimido de 10 kg</v>
          </cell>
          <cell r="T272">
            <v>8164.6086999999998</v>
          </cell>
          <cell r="U272">
            <v>0.6532</v>
          </cell>
          <cell r="V272">
            <v>7.7200000000000005E-2</v>
          </cell>
          <cell r="W272">
            <v>0</v>
          </cell>
          <cell r="X272">
            <v>0.6532</v>
          </cell>
          <cell r="Y272">
            <v>0</v>
          </cell>
          <cell r="Z272">
            <v>21.640999999999998</v>
          </cell>
          <cell r="AA272">
            <v>23.0246</v>
          </cell>
          <cell r="AB272">
            <v>22.371400000000001</v>
          </cell>
          <cell r="AF272" t="str">
            <v>M0734</v>
          </cell>
          <cell r="AG272" t="str">
            <v>Estaca pré-moldada de concreto centrifugado - D = 50 cm</v>
          </cell>
          <cell r="AH272" t="str">
            <v>m</v>
          </cell>
          <cell r="AI272">
            <v>226.33199999999999</v>
          </cell>
        </row>
        <row r="273">
          <cell r="C273">
            <v>5914655</v>
          </cell>
          <cell r="D273">
            <v>2.0000000000000002E-5</v>
          </cell>
          <cell r="E273" t="str">
            <v>t</v>
          </cell>
          <cell r="G273">
            <v>22.49</v>
          </cell>
          <cell r="I273">
            <v>4.4979999999999998E-4</v>
          </cell>
          <cell r="R273" t="str">
            <v>E9678</v>
          </cell>
          <cell r="S273" t="str">
            <v>Fresadora a frio - 410 kW</v>
          </cell>
          <cell r="T273">
            <v>4467892.7580000004</v>
          </cell>
          <cell r="U273">
            <v>260.62709999999998</v>
          </cell>
          <cell r="V273">
            <v>41.0488</v>
          </cell>
          <cell r="W273">
            <v>0</v>
          </cell>
          <cell r="X273">
            <v>372.32440000000003</v>
          </cell>
          <cell r="Y273">
            <v>236.30760000000001</v>
          </cell>
          <cell r="Z273">
            <v>35.442</v>
          </cell>
          <cell r="AA273">
            <v>945.74990000000003</v>
          </cell>
          <cell r="AB273">
            <v>337.11790000000002</v>
          </cell>
          <cell r="AF273" t="str">
            <v>M0741</v>
          </cell>
          <cell r="AG273" t="str">
            <v>Grama tipo batatais</v>
          </cell>
          <cell r="AH273" t="str">
            <v>m²</v>
          </cell>
          <cell r="AI273">
            <v>1.4156</v>
          </cell>
        </row>
        <row r="274">
          <cell r="C274" t="str">
            <v>Custo unitário total de tempo fixo</v>
          </cell>
          <cell r="I274">
            <v>2.5188800000000001E-2</v>
          </cell>
          <cell r="R274" t="str">
            <v>E9682</v>
          </cell>
          <cell r="S274" t="str">
            <v>Rolo compactador liso autopropelido vibratório de 1,6 t - 18 kW</v>
          </cell>
          <cell r="T274">
            <v>167353.81289999999</v>
          </cell>
          <cell r="U274">
            <v>11.1569</v>
          </cell>
          <cell r="V274">
            <v>1.5376000000000001</v>
          </cell>
          <cell r="W274">
            <v>0</v>
          </cell>
          <cell r="X274">
            <v>11.1569</v>
          </cell>
          <cell r="Y274">
            <v>14.9854</v>
          </cell>
          <cell r="Z274">
            <v>27.014800000000001</v>
          </cell>
          <cell r="AA274">
            <v>65.851600000000005</v>
          </cell>
          <cell r="AB274">
            <v>39.709299999999999</v>
          </cell>
          <cell r="AF274" t="str">
            <v>M0742</v>
          </cell>
          <cell r="AG274" t="str">
            <v>Grama tipo esmeralda</v>
          </cell>
          <cell r="AH274" t="str">
            <v>m²</v>
          </cell>
          <cell r="AI274">
            <v>7.1665999999999999</v>
          </cell>
        </row>
        <row r="275">
          <cell r="C275" t="str">
            <v>Quantidade</v>
          </cell>
          <cell r="D275" t="str">
            <v>Unidade</v>
          </cell>
          <cell r="E275" t="str">
            <v>DMT</v>
          </cell>
          <cell r="I275" t="str">
            <v>Custo Unitário</v>
          </cell>
          <cell r="R275" t="str">
            <v>E9684</v>
          </cell>
          <cell r="S275" t="str">
            <v>Veículo leve Pick Up 4 x 4 - 147 kW</v>
          </cell>
          <cell r="T275">
            <v>166731.83799999999</v>
          </cell>
          <cell r="U275">
            <v>10.0039</v>
          </cell>
          <cell r="V275">
            <v>1.5755999999999999</v>
          </cell>
          <cell r="W275">
            <v>1.2504999999999999</v>
          </cell>
          <cell r="X275">
            <v>10.0039</v>
          </cell>
          <cell r="Y275">
            <v>23.534700000000001</v>
          </cell>
          <cell r="Z275">
            <v>23.806899999999999</v>
          </cell>
          <cell r="AA275">
            <v>70.1755</v>
          </cell>
          <cell r="AB275">
            <v>36.636899999999997</v>
          </cell>
          <cell r="AF275" t="str">
            <v>M0743</v>
          </cell>
          <cell r="AG275" t="str">
            <v>Grama tipo Pelo de Urso em muda</v>
          </cell>
          <cell r="AH275" t="str">
            <v>un</v>
          </cell>
          <cell r="AI275">
            <v>0.88959999999999995</v>
          </cell>
        </row>
        <row r="276">
          <cell r="E276" t="str">
            <v>LN</v>
          </cell>
          <cell r="F276" t="str">
            <v>RP</v>
          </cell>
          <cell r="G276" t="str">
            <v>P</v>
          </cell>
          <cell r="R276" t="str">
            <v>E9685</v>
          </cell>
          <cell r="S276" t="str">
            <v>Rolo compactador pé de carneiro vibratório autopropelido de 11,6 t - 82 kW</v>
          </cell>
          <cell r="T276">
            <v>421571.03220000002</v>
          </cell>
          <cell r="U276">
            <v>28.104700000000001</v>
          </cell>
          <cell r="V276">
            <v>3.8732000000000002</v>
          </cell>
          <cell r="W276">
            <v>0</v>
          </cell>
          <cell r="X276">
            <v>28.104700000000001</v>
          </cell>
          <cell r="Y276">
            <v>42.010199999999998</v>
          </cell>
          <cell r="Z276">
            <v>27.014800000000001</v>
          </cell>
          <cell r="AA276">
            <v>129.10759999999999</v>
          </cell>
          <cell r="AB276">
            <v>58.992699999999999</v>
          </cell>
          <cell r="AF276" t="str">
            <v>M0745</v>
          </cell>
          <cell r="AG276" t="str">
            <v>Grampo para cerca galvanizado de 1 x 9"</v>
          </cell>
          <cell r="AH276" t="str">
            <v>kg</v>
          </cell>
          <cell r="AI276">
            <v>3.8187000000000002</v>
          </cell>
        </row>
        <row r="277">
          <cell r="C277">
            <v>1.1000000000000001E-3</v>
          </cell>
          <cell r="D277" t="str">
            <v>tkm</v>
          </cell>
          <cell r="E277">
            <v>5914449</v>
          </cell>
          <cell r="F277">
            <v>5914464</v>
          </cell>
          <cell r="G277">
            <v>5914479</v>
          </cell>
          <cell r="R277" t="str">
            <v>E9689</v>
          </cell>
          <cell r="S277" t="str">
            <v>Usina de asfalto a quente gravimétrica com capacidade de 100/140 t/h - 260 kW</v>
          </cell>
          <cell r="T277">
            <v>5622161.7000000002</v>
          </cell>
          <cell r="U277">
            <v>281.10809999999998</v>
          </cell>
          <cell r="V277">
            <v>50.599499999999999</v>
          </cell>
          <cell r="W277">
            <v>0</v>
          </cell>
          <cell r="X277">
            <v>361.42469999999997</v>
          </cell>
          <cell r="Y277">
            <v>0</v>
          </cell>
          <cell r="Z277">
            <v>35.442</v>
          </cell>
          <cell r="AA277">
            <v>728.57429999999999</v>
          </cell>
          <cell r="AB277">
            <v>367.14960000000002</v>
          </cell>
          <cell r="AF277" t="str">
            <v>M0748</v>
          </cell>
          <cell r="AG277" t="str">
            <v>Grama em mudas para revestimento de taludes</v>
          </cell>
          <cell r="AH277" t="str">
            <v>m²</v>
          </cell>
          <cell r="AI277">
            <v>1.4662999999999999</v>
          </cell>
        </row>
        <row r="278">
          <cell r="C278">
            <v>2.0000000000000002E-5</v>
          </cell>
          <cell r="D278" t="str">
            <v>tkm</v>
          </cell>
          <cell r="E278">
            <v>5914449</v>
          </cell>
          <cell r="F278">
            <v>5914464</v>
          </cell>
          <cell r="G278">
            <v>5914479</v>
          </cell>
          <cell r="R278" t="str">
            <v>E9691</v>
          </cell>
          <cell r="S278" t="str">
            <v>Tracionador de cordoalhas - 7,5 kW</v>
          </cell>
          <cell r="T278">
            <v>159075</v>
          </cell>
          <cell r="U278">
            <v>12.726000000000001</v>
          </cell>
          <cell r="V278">
            <v>1.5033000000000001</v>
          </cell>
          <cell r="W278">
            <v>0</v>
          </cell>
          <cell r="X278">
            <v>7.9538000000000002</v>
          </cell>
          <cell r="Y278">
            <v>0</v>
          </cell>
          <cell r="Z278">
            <v>21.640999999999998</v>
          </cell>
          <cell r="AA278">
            <v>43.824100000000001</v>
          </cell>
          <cell r="AB278">
            <v>35.8703</v>
          </cell>
          <cell r="AF278" t="str">
            <v>M0755</v>
          </cell>
          <cell r="AG278" t="str">
            <v>Estaca pré-moldada de concreto centrifugado - D = 60 cm</v>
          </cell>
          <cell r="AH278" t="str">
            <v>m</v>
          </cell>
          <cell r="AI278">
            <v>230.26650000000001</v>
          </cell>
        </row>
        <row r="279">
          <cell r="C279" t="str">
            <v>Custo unitário total de transporte</v>
          </cell>
          <cell r="I279" t="str">
            <v>-</v>
          </cell>
          <cell r="R279" t="str">
            <v>E9692</v>
          </cell>
          <cell r="S279" t="str">
            <v>Caldeira para aquecimento e injeção de cera - 1 kW</v>
          </cell>
          <cell r="T279">
            <v>44234.753799999999</v>
          </cell>
          <cell r="U279">
            <v>2.8437000000000001</v>
          </cell>
          <cell r="V279">
            <v>0.39810000000000001</v>
          </cell>
          <cell r="W279">
            <v>0</v>
          </cell>
          <cell r="X279">
            <v>0.94789999999999996</v>
          </cell>
          <cell r="Y279">
            <v>0</v>
          </cell>
          <cell r="Z279">
            <v>21.640999999999998</v>
          </cell>
          <cell r="AA279">
            <v>25.8307</v>
          </cell>
          <cell r="AB279">
            <v>24.8828</v>
          </cell>
          <cell r="AF279" t="str">
            <v>M0756</v>
          </cell>
          <cell r="AG279" t="str">
            <v>Estaca pré-moldada de concreto centrifugado - D = 70 cm</v>
          </cell>
          <cell r="AH279" t="str">
            <v>m</v>
          </cell>
          <cell r="AI279">
            <v>423.28960000000001</v>
          </cell>
        </row>
        <row r="280">
          <cell r="C280" t="str">
            <v>0407819</v>
          </cell>
          <cell r="D280" t="str">
            <v>kg</v>
          </cell>
          <cell r="E280" t="str">
            <v>Custo unitário direto total</v>
          </cell>
          <cell r="I280">
            <v>8.1813922999999988</v>
          </cell>
          <cell r="R280" t="str">
            <v>E9694</v>
          </cell>
          <cell r="S280" t="str">
            <v>Misturador de argamassa de alta turbulência com capacidade de 220 l</v>
          </cell>
          <cell r="T280">
            <v>18923.315900000001</v>
          </cell>
          <cell r="U280">
            <v>1.5139</v>
          </cell>
          <cell r="V280">
            <v>0.17879999999999999</v>
          </cell>
          <cell r="W280">
            <v>0</v>
          </cell>
          <cell r="X280">
            <v>1.3246</v>
          </cell>
          <cell r="Y280">
            <v>0</v>
          </cell>
          <cell r="Z280">
            <v>21.640999999999998</v>
          </cell>
          <cell r="AA280">
            <v>24.658300000000001</v>
          </cell>
          <cell r="AB280">
            <v>23.3337</v>
          </cell>
          <cell r="AF280" t="str">
            <v>M0766</v>
          </cell>
          <cell r="AG280" t="str">
            <v>Semipórtico metálico para vão de 2,7 m e vento de 35 m/s</v>
          </cell>
          <cell r="AH280" t="str">
            <v>un</v>
          </cell>
          <cell r="AI280">
            <v>14873.3454</v>
          </cell>
        </row>
        <row r="281">
          <cell r="R281" t="str">
            <v>E9697</v>
          </cell>
          <cell r="S281" t="str">
            <v>Minicarregadeira de pneus com vassoura de 1,8 m - 42 kW</v>
          </cell>
          <cell r="T281">
            <v>187123.5993</v>
          </cell>
          <cell r="U281">
            <v>13.098699999999999</v>
          </cell>
          <cell r="V281">
            <v>1.7683</v>
          </cell>
          <cell r="W281">
            <v>0</v>
          </cell>
          <cell r="X281">
            <v>13.098699999999999</v>
          </cell>
          <cell r="Y281">
            <v>33.621000000000002</v>
          </cell>
          <cell r="Z281">
            <v>27.014800000000001</v>
          </cell>
          <cell r="AA281">
            <v>88.601500000000001</v>
          </cell>
          <cell r="AB281">
            <v>41.881799999999998</v>
          </cell>
          <cell r="AF281" t="str">
            <v>M0767</v>
          </cell>
          <cell r="AG281" t="str">
            <v>Sinalizador a LED com bateria</v>
          </cell>
          <cell r="AH281" t="str">
            <v>un</v>
          </cell>
          <cell r="AI281">
            <v>156.56950000000001</v>
          </cell>
        </row>
        <row r="282">
          <cell r="R282" t="str">
            <v>E9700</v>
          </cell>
          <cell r="S282" t="str">
            <v>Fresadora a frio - 155 kW</v>
          </cell>
          <cell r="T282">
            <v>1295956.4439999999</v>
          </cell>
          <cell r="U282">
            <v>75.597499999999997</v>
          </cell>
          <cell r="V282">
            <v>11.906599999999999</v>
          </cell>
          <cell r="W282">
            <v>0</v>
          </cell>
          <cell r="X282">
            <v>107.99639999999999</v>
          </cell>
          <cell r="Y282">
            <v>89.335800000000006</v>
          </cell>
          <cell r="Z282">
            <v>35.442</v>
          </cell>
          <cell r="AA282">
            <v>320.2783</v>
          </cell>
          <cell r="AB282">
            <v>122.9461</v>
          </cell>
          <cell r="AF282" t="str">
            <v>M0769</v>
          </cell>
          <cell r="AG282" t="str">
            <v>Lona plástica de 200 micras de espessura</v>
          </cell>
          <cell r="AH282" t="str">
            <v>m²</v>
          </cell>
          <cell r="AI282">
            <v>0.89459999999999995</v>
          </cell>
        </row>
        <row r="283">
          <cell r="I283" t="str">
            <v>DNIT</v>
          </cell>
          <cell r="R283" t="str">
            <v>E9701</v>
          </cell>
          <cell r="S283" t="str">
            <v>Jateador pressurizado multiabrasivo com capacidade de 280 l</v>
          </cell>
          <cell r="T283">
            <v>15328.6008</v>
          </cell>
          <cell r="U283">
            <v>1.3795999999999999</v>
          </cell>
          <cell r="V283">
            <v>0.1449</v>
          </cell>
          <cell r="W283">
            <v>0</v>
          </cell>
          <cell r="X283">
            <v>1.3795999999999999</v>
          </cell>
          <cell r="Y283">
            <v>0</v>
          </cell>
          <cell r="Z283">
            <v>21.640999999999998</v>
          </cell>
          <cell r="AA283">
            <v>24.545100000000001</v>
          </cell>
          <cell r="AB283">
            <v>23.165500000000002</v>
          </cell>
          <cell r="AF283" t="str">
            <v>M0771</v>
          </cell>
          <cell r="AG283" t="str">
            <v>Cavalete em polietileno zebrado com faixa refletiva</v>
          </cell>
          <cell r="AH283" t="str">
            <v>un</v>
          </cell>
          <cell r="AI283">
            <v>262.01</v>
          </cell>
        </row>
        <row r="284">
          <cell r="R284" t="str">
            <v>E9702</v>
          </cell>
          <cell r="S284" t="str">
            <v>Bomba de injeção de argamassa com capacidade de 340 l/min</v>
          </cell>
          <cell r="T284">
            <v>251407.01610000001</v>
          </cell>
          <cell r="U284">
            <v>20.1126</v>
          </cell>
          <cell r="V284">
            <v>2.3757999999999999</v>
          </cell>
          <cell r="W284">
            <v>0</v>
          </cell>
          <cell r="X284">
            <v>17.598500000000001</v>
          </cell>
          <cell r="Y284">
            <v>0</v>
          </cell>
          <cell r="Z284">
            <v>0</v>
          </cell>
          <cell r="AA284">
            <v>40.0869</v>
          </cell>
          <cell r="AB284">
            <v>22.488399999999999</v>
          </cell>
          <cell r="AF284" t="str">
            <v>M0773</v>
          </cell>
          <cell r="AG284" t="str">
            <v>Perfil de alumínio L463 de 50 x 50 mm</v>
          </cell>
          <cell r="AH284" t="str">
            <v>m</v>
          </cell>
          <cell r="AI284">
            <v>31.1006</v>
          </cell>
        </row>
        <row r="285">
          <cell r="D285" t="str">
            <v>Outubro/2019</v>
          </cell>
          <cell r="G285" t="str">
            <v>Produção da equipe</v>
          </cell>
          <cell r="H285">
            <v>163.22999999999999</v>
          </cell>
          <cell r="I285" t="str">
            <v>m²</v>
          </cell>
          <cell r="R285" t="str">
            <v>E9703</v>
          </cell>
          <cell r="S285" t="str">
            <v>Fábrica de pré-moldado de concreto para mourão - 2,2 kW</v>
          </cell>
          <cell r="T285">
            <v>10918.197</v>
          </cell>
          <cell r="U285">
            <v>1.4558</v>
          </cell>
          <cell r="V285">
            <v>0.17199999999999999</v>
          </cell>
          <cell r="W285">
            <v>0</v>
          </cell>
          <cell r="X285">
            <v>1.0918000000000001</v>
          </cell>
          <cell r="Y285">
            <v>0</v>
          </cell>
          <cell r="Z285">
            <v>0</v>
          </cell>
          <cell r="AA285">
            <v>2.7195999999999998</v>
          </cell>
          <cell r="AB285">
            <v>1.6277999999999999</v>
          </cell>
          <cell r="AF285" t="str">
            <v>M0783</v>
          </cell>
          <cell r="AG285" t="str">
            <v>Massa asfáltica comercial - capa de rolamento</v>
          </cell>
          <cell r="AH285" t="str">
            <v>t</v>
          </cell>
          <cell r="AI285">
            <v>0</v>
          </cell>
        </row>
        <row r="286">
          <cell r="H286" t="str">
            <v>Valores em reais (R$)</v>
          </cell>
          <cell r="R286" t="str">
            <v>E9704</v>
          </cell>
          <cell r="S286" t="str">
            <v>Batelão sem propulsão montado na obra com capacidade de 100 t</v>
          </cell>
          <cell r="T286">
            <v>146662.18960000001</v>
          </cell>
          <cell r="U286">
            <v>1.1457999999999999</v>
          </cell>
          <cell r="V286">
            <v>0.42109999999999997</v>
          </cell>
          <cell r="W286">
            <v>0</v>
          </cell>
          <cell r="X286">
            <v>1.9097</v>
          </cell>
          <cell r="Y286">
            <v>0</v>
          </cell>
          <cell r="Z286">
            <v>19.091799999999999</v>
          </cell>
          <cell r="AA286">
            <v>22.5684</v>
          </cell>
          <cell r="AB286">
            <v>20.6587</v>
          </cell>
          <cell r="AF286" t="str">
            <v>M0784</v>
          </cell>
          <cell r="AG286" t="str">
            <v>Massa asfáltica comercial - binder</v>
          </cell>
          <cell r="AH286" t="str">
            <v>t</v>
          </cell>
          <cell r="AI286">
            <v>0</v>
          </cell>
        </row>
        <row r="287">
          <cell r="C287" t="str">
            <v>Quantidade</v>
          </cell>
          <cell r="D287" t="str">
            <v>Utilização</v>
          </cell>
          <cell r="F287" t="str">
            <v>Custo Horário</v>
          </cell>
          <cell r="I287" t="str">
            <v>Custo</v>
          </cell>
          <cell r="R287" t="str">
            <v>E9705</v>
          </cell>
          <cell r="S287" t="str">
            <v>Misturador de lama bentonítica - 4 kW</v>
          </cell>
          <cell r="T287">
            <v>10577.9146</v>
          </cell>
          <cell r="U287">
            <v>0.84619999999999995</v>
          </cell>
          <cell r="V287">
            <v>0.1</v>
          </cell>
          <cell r="W287">
            <v>0</v>
          </cell>
          <cell r="X287">
            <v>0.74050000000000005</v>
          </cell>
          <cell r="Y287">
            <v>0</v>
          </cell>
          <cell r="Z287">
            <v>21.640999999999998</v>
          </cell>
          <cell r="AA287">
            <v>23.3277</v>
          </cell>
          <cell r="AB287">
            <v>22.587199999999999</v>
          </cell>
          <cell r="AF287" t="str">
            <v>M0786</v>
          </cell>
          <cell r="AG287" t="str">
            <v>Isopor</v>
          </cell>
          <cell r="AH287" t="str">
            <v>m³</v>
          </cell>
          <cell r="AI287">
            <v>195.84</v>
          </cell>
        </row>
        <row r="288">
          <cell r="D288" t="str">
            <v>Operativa</v>
          </cell>
          <cell r="E288" t="str">
            <v>Improdutiva</v>
          </cell>
          <cell r="F288" t="str">
            <v>Produtivo</v>
          </cell>
          <cell r="G288" t="str">
            <v>Improdutivo</v>
          </cell>
          <cell r="I288" t="str">
            <v>Horário Total</v>
          </cell>
          <cell r="R288" t="str">
            <v>E9706</v>
          </cell>
          <cell r="S288" t="str">
            <v>Martelete perfurador/rompedor a ar comprimido de 28 kg para concreto</v>
          </cell>
          <cell r="T288">
            <v>14041.0509</v>
          </cell>
          <cell r="U288">
            <v>1.1233</v>
          </cell>
          <cell r="V288">
            <v>0.13270000000000001</v>
          </cell>
          <cell r="W288">
            <v>0</v>
          </cell>
          <cell r="X288">
            <v>1.1233</v>
          </cell>
          <cell r="Y288">
            <v>0</v>
          </cell>
          <cell r="Z288">
            <v>21.640999999999998</v>
          </cell>
          <cell r="AA288">
            <v>24.020299999999999</v>
          </cell>
          <cell r="AB288">
            <v>22.896999999999998</v>
          </cell>
          <cell r="AF288" t="str">
            <v>M0787</v>
          </cell>
          <cell r="AG288" t="str">
            <v>Suporte em aço carbono galvanizado perfil "C"</v>
          </cell>
          <cell r="AH288" t="str">
            <v>kg</v>
          </cell>
          <cell r="AI288">
            <v>21.285799999999998</v>
          </cell>
        </row>
        <row r="289">
          <cell r="C289">
            <v>1</v>
          </cell>
          <cell r="D289">
            <v>0.5</v>
          </cell>
          <cell r="E289">
            <v>0.5</v>
          </cell>
          <cell r="F289">
            <v>87.298900000000003</v>
          </cell>
          <cell r="G289">
            <v>37.209699999999998</v>
          </cell>
          <cell r="I289">
            <v>62.254300000000001</v>
          </cell>
          <cell r="R289" t="str">
            <v>E9707</v>
          </cell>
          <cell r="S289" t="str">
            <v>Desarenador - 15 kW</v>
          </cell>
          <cell r="T289">
            <v>7072.326</v>
          </cell>
          <cell r="U289">
            <v>0.56579999999999997</v>
          </cell>
          <cell r="V289">
            <v>6.6799999999999998E-2</v>
          </cell>
          <cell r="W289">
            <v>0</v>
          </cell>
          <cell r="X289">
            <v>0.56579999999999997</v>
          </cell>
          <cell r="Y289">
            <v>0</v>
          </cell>
          <cell r="Z289">
            <v>21.640999999999998</v>
          </cell>
          <cell r="AA289">
            <v>22.839400000000001</v>
          </cell>
          <cell r="AB289">
            <v>22.273599999999998</v>
          </cell>
          <cell r="AF289" t="str">
            <v>M0789</v>
          </cell>
          <cell r="AG289" t="str">
            <v>Conjunto de cantoneiras e parafusos galvanizados para fixação de placas</v>
          </cell>
          <cell r="AH289" t="str">
            <v>kg</v>
          </cell>
          <cell r="AI289">
            <v>5.3465999999999996</v>
          </cell>
        </row>
        <row r="290">
          <cell r="C290">
            <v>1</v>
          </cell>
          <cell r="D290">
            <v>1</v>
          </cell>
          <cell r="E290">
            <v>0</v>
          </cell>
          <cell r="F290">
            <v>264.30720000000002</v>
          </cell>
          <cell r="G290">
            <v>120.6551</v>
          </cell>
          <cell r="I290">
            <v>264.30720000000002</v>
          </cell>
          <cell r="R290" t="str">
            <v>E9708</v>
          </cell>
          <cell r="S290" t="str">
            <v>Microtrator com roçadeira - 10 kW</v>
          </cell>
          <cell r="T290">
            <v>31160.221399999999</v>
          </cell>
          <cell r="U290">
            <v>2.0773000000000001</v>
          </cell>
          <cell r="V290">
            <v>0.2863</v>
          </cell>
          <cell r="W290">
            <v>0</v>
          </cell>
          <cell r="X290">
            <v>1.8177000000000001</v>
          </cell>
          <cell r="Y290">
            <v>4.8029999999999999</v>
          </cell>
          <cell r="Z290">
            <v>21.640999999999998</v>
          </cell>
          <cell r="AA290">
            <v>30.625299999999999</v>
          </cell>
          <cell r="AB290">
            <v>24.0046</v>
          </cell>
          <cell r="AF290" t="str">
            <v>M0792</v>
          </cell>
          <cell r="AG290" t="str">
            <v>Semipórtico metálico para vão de 3,8 m e vento de 35 m/s</v>
          </cell>
          <cell r="AH290" t="str">
            <v>un</v>
          </cell>
          <cell r="AI290">
            <v>16502.132600000001</v>
          </cell>
        </row>
        <row r="291">
          <cell r="G291" t="str">
            <v>Custo horário total de equipamentos</v>
          </cell>
          <cell r="I291">
            <v>326.56150000000002</v>
          </cell>
          <cell r="R291" t="str">
            <v>E9710</v>
          </cell>
          <cell r="S291" t="str">
            <v>Socadora automática de linha - 253 kW</v>
          </cell>
          <cell r="T291">
            <v>18036242.219999999</v>
          </cell>
          <cell r="U291">
            <v>721.44970000000001</v>
          </cell>
          <cell r="V291">
            <v>156.2389</v>
          </cell>
          <cell r="W291">
            <v>0</v>
          </cell>
          <cell r="X291">
            <v>721.44970000000001</v>
          </cell>
          <cell r="Y291">
            <v>97.212699999999998</v>
          </cell>
          <cell r="Z291">
            <v>70.884</v>
          </cell>
          <cell r="AA291">
            <v>1767.2349999999999</v>
          </cell>
          <cell r="AB291">
            <v>948.57259999999997</v>
          </cell>
          <cell r="AF291" t="str">
            <v>M0793</v>
          </cell>
          <cell r="AG291" t="str">
            <v>Semipórtico metálico para vão de 4,9 m e vento de 35 m/s</v>
          </cell>
          <cell r="AH291" t="str">
            <v>un</v>
          </cell>
          <cell r="AI291">
            <v>17297.7552</v>
          </cell>
        </row>
        <row r="292">
          <cell r="C292" t="str">
            <v>Quantidade</v>
          </cell>
          <cell r="D292" t="str">
            <v>Unidade</v>
          </cell>
          <cell r="E292" t="str">
            <v>Custo Horário</v>
          </cell>
          <cell r="G292" t="str">
            <v>Custo Horário Total</v>
          </cell>
          <cell r="R292" t="str">
            <v>E9712</v>
          </cell>
          <cell r="S292" t="str">
            <v>Reguladora e distribuidora de lastro - 300 kW</v>
          </cell>
          <cell r="T292">
            <v>8609237.3629999999</v>
          </cell>
          <cell r="U292">
            <v>344.36950000000002</v>
          </cell>
          <cell r="V292">
            <v>74.577500000000001</v>
          </cell>
          <cell r="W292">
            <v>0</v>
          </cell>
          <cell r="X292">
            <v>344.36950000000002</v>
          </cell>
          <cell r="Y292">
            <v>115.27200000000001</v>
          </cell>
          <cell r="Z292">
            <v>70.884</v>
          </cell>
          <cell r="AA292">
            <v>949.47249999999997</v>
          </cell>
          <cell r="AB292">
            <v>489.83100000000002</v>
          </cell>
          <cell r="AF292" t="str">
            <v>M0794</v>
          </cell>
          <cell r="AG292" t="str">
            <v>Semipórtico metálico para vão de 6,0 m e vento de 35 m/s</v>
          </cell>
          <cell r="AH292" t="str">
            <v>un</v>
          </cell>
          <cell r="AI292">
            <v>17778.517199999998</v>
          </cell>
        </row>
        <row r="293">
          <cell r="C293">
            <v>5</v>
          </cell>
          <cell r="D293" t="str">
            <v>h</v>
          </cell>
          <cell r="F293">
            <v>19.378599999999999</v>
          </cell>
          <cell r="I293">
            <v>96.893000000000001</v>
          </cell>
          <cell r="R293" t="str">
            <v>E9714</v>
          </cell>
          <cell r="S293" t="str">
            <v>Bate-estaca com martelo hidráulico - 450 kW</v>
          </cell>
          <cell r="T293">
            <v>2313080.997</v>
          </cell>
          <cell r="U293">
            <v>132.17609999999999</v>
          </cell>
          <cell r="V293">
            <v>20.817699999999999</v>
          </cell>
          <cell r="W293">
            <v>0</v>
          </cell>
          <cell r="X293">
            <v>99.132000000000005</v>
          </cell>
          <cell r="Y293">
            <v>187.31700000000001</v>
          </cell>
          <cell r="Z293">
            <v>27.014800000000001</v>
          </cell>
          <cell r="AA293">
            <v>466.45760000000001</v>
          </cell>
          <cell r="AB293">
            <v>180.0086</v>
          </cell>
          <cell r="AF293" t="str">
            <v>M0795</v>
          </cell>
          <cell r="AG293" t="str">
            <v>Semipórtico metálico para vão de 7,2 m e vento de 35 m/s</v>
          </cell>
          <cell r="AH293" t="str">
            <v>un</v>
          </cell>
          <cell r="AI293">
            <v>20438.881600000001</v>
          </cell>
        </row>
        <row r="294">
          <cell r="C294" t="str">
            <v>Custo horário total de mão de obra</v>
          </cell>
          <cell r="H294">
            <v>96.893000000000001</v>
          </cell>
          <cell r="R294" t="str">
            <v>E9716</v>
          </cell>
          <cell r="S294" t="str">
            <v>Conjunto bomba e macaco hidráulico para protensão com capacidade de 590 kN</v>
          </cell>
          <cell r="T294">
            <v>12520.510200000001</v>
          </cell>
          <cell r="U294">
            <v>0.71550000000000002</v>
          </cell>
          <cell r="V294">
            <v>0.11269999999999999</v>
          </cell>
          <cell r="W294">
            <v>0</v>
          </cell>
          <cell r="X294">
            <v>0.71550000000000002</v>
          </cell>
          <cell r="Y294">
            <v>0</v>
          </cell>
          <cell r="Z294">
            <v>35.442</v>
          </cell>
          <cell r="AA294">
            <v>36.985700000000001</v>
          </cell>
          <cell r="AB294">
            <v>36.270200000000003</v>
          </cell>
          <cell r="AF294" t="str">
            <v>M0796</v>
          </cell>
          <cell r="AG294" t="str">
            <v>Semipórtico metálico para vão de 8,3 m e vento de 35 m/s</v>
          </cell>
          <cell r="AH294" t="str">
            <v>un</v>
          </cell>
          <cell r="AI294">
            <v>23528.720499999999</v>
          </cell>
        </row>
        <row r="295">
          <cell r="C295" t="str">
            <v>Custo horário total de execução</v>
          </cell>
          <cell r="I295">
            <v>423.45450000000005</v>
          </cell>
          <cell r="R295" t="str">
            <v>E9717</v>
          </cell>
          <cell r="S295" t="str">
            <v>Máquina policorte - 2,2 kW</v>
          </cell>
          <cell r="T295">
            <v>725.93579999999997</v>
          </cell>
          <cell r="U295">
            <v>6.5299999999999997E-2</v>
          </cell>
          <cell r="V295">
            <v>6.8999999999999999E-3</v>
          </cell>
          <cell r="W295">
            <v>0</v>
          </cell>
          <cell r="X295">
            <v>3.6299999999999999E-2</v>
          </cell>
          <cell r="Y295">
            <v>0</v>
          </cell>
          <cell r="Z295">
            <v>0</v>
          </cell>
          <cell r="AA295">
            <v>0.1085</v>
          </cell>
          <cell r="AB295">
            <v>7.22E-2</v>
          </cell>
          <cell r="AF295" t="str">
            <v>M0798</v>
          </cell>
          <cell r="AG295" t="str">
            <v>Apoio de neoprene fretado</v>
          </cell>
          <cell r="AH295" t="str">
            <v>dm³</v>
          </cell>
          <cell r="AI295">
            <v>60.380600000000001</v>
          </cell>
        </row>
        <row r="296">
          <cell r="C296" t="str">
            <v>Custo unitário de execução</v>
          </cell>
          <cell r="I296">
            <v>2.5942198125344609</v>
          </cell>
          <cell r="R296" t="str">
            <v>E9718</v>
          </cell>
          <cell r="S296" t="str">
            <v>Pórtico duplo de descarga e posicionamento de dormente - 89 kW</v>
          </cell>
          <cell r="T296">
            <v>7426146.4009999996</v>
          </cell>
          <cell r="U296">
            <v>297.04590000000002</v>
          </cell>
          <cell r="V296">
            <v>64.328999999999994</v>
          </cell>
          <cell r="W296">
            <v>0</v>
          </cell>
          <cell r="X296">
            <v>222.78440000000001</v>
          </cell>
          <cell r="Y296">
            <v>34.197400000000002</v>
          </cell>
          <cell r="Z296">
            <v>70.884</v>
          </cell>
          <cell r="AA296">
            <v>689.24069999999995</v>
          </cell>
          <cell r="AB296">
            <v>432.25889999999998</v>
          </cell>
          <cell r="AF296" t="str">
            <v>M0799</v>
          </cell>
          <cell r="AG296" t="str">
            <v>Semipórtico duplo metálico para vão de 2 x 2,7 m e vento de 35 m/s</v>
          </cell>
          <cell r="AH296" t="str">
            <v>un</v>
          </cell>
          <cell r="AI296">
            <v>23832.553</v>
          </cell>
        </row>
        <row r="297">
          <cell r="G297" t="str">
            <v>Custo do FIC</v>
          </cell>
          <cell r="I297" t="str">
            <v>-</v>
          </cell>
          <cell r="R297" t="str">
            <v>E9719</v>
          </cell>
          <cell r="S297" t="str">
            <v>Talha manual com capacidade de 3 t</v>
          </cell>
          <cell r="T297">
            <v>2467.9766</v>
          </cell>
          <cell r="U297">
            <v>9.8699999999999996E-2</v>
          </cell>
          <cell r="V297">
            <v>2.1399999999999999E-2</v>
          </cell>
          <cell r="W297">
            <v>0</v>
          </cell>
          <cell r="X297">
            <v>6.1699999999999998E-2</v>
          </cell>
          <cell r="Y297">
            <v>0</v>
          </cell>
          <cell r="Z297">
            <v>0</v>
          </cell>
          <cell r="AA297">
            <v>0.18179999999999999</v>
          </cell>
          <cell r="AB297">
            <v>0.1201</v>
          </cell>
          <cell r="AF297" t="str">
            <v>M0800</v>
          </cell>
          <cell r="AG297" t="str">
            <v>Semipórtico duplo metálico para vão de 2 x 3,8 m e vento de 35 m/s</v>
          </cell>
          <cell r="AH297" t="str">
            <v>un</v>
          </cell>
          <cell r="AI297">
            <v>26042.892599999999</v>
          </cell>
        </row>
        <row r="298">
          <cell r="G298" t="str">
            <v>Custo do FIT</v>
          </cell>
          <cell r="I298" t="str">
            <v>-</v>
          </cell>
          <cell r="R298" t="str">
            <v>E9720</v>
          </cell>
          <cell r="S298" t="str">
            <v>Conjunto bomba e macaco hidráulico para protensão com capacidade de 250 kN</v>
          </cell>
          <cell r="T298">
            <v>9895.5527999999995</v>
          </cell>
          <cell r="U298">
            <v>0.5655</v>
          </cell>
          <cell r="V298">
            <v>8.9099999999999999E-2</v>
          </cell>
          <cell r="W298">
            <v>0</v>
          </cell>
          <cell r="X298">
            <v>0.5655</v>
          </cell>
          <cell r="Y298">
            <v>0</v>
          </cell>
          <cell r="Z298">
            <v>35.442</v>
          </cell>
          <cell r="AA298">
            <v>36.662100000000002</v>
          </cell>
          <cell r="AB298">
            <v>36.096600000000002</v>
          </cell>
          <cell r="AF298" t="str">
            <v>M0801</v>
          </cell>
          <cell r="AG298" t="str">
            <v>Semipórtico duplo metálico para vão de 2 x 4,9 m e vento de 35 m/s</v>
          </cell>
          <cell r="AH298" t="str">
            <v>un</v>
          </cell>
          <cell r="AI298">
            <v>27158.276600000001</v>
          </cell>
        </row>
        <row r="299">
          <cell r="C299" t="str">
            <v>Quantidade</v>
          </cell>
          <cell r="D299" t="str">
            <v>Unidade</v>
          </cell>
          <cell r="E299" t="str">
            <v>Preço Unitário</v>
          </cell>
          <cell r="G299" t="str">
            <v>Custo Unitário</v>
          </cell>
          <cell r="R299" t="str">
            <v>E9721</v>
          </cell>
          <cell r="S299" t="str">
            <v>Conjunto bomba e macaco hidráulico para protensão com capacidade de 1.150 kN</v>
          </cell>
          <cell r="T299">
            <v>20594.3442</v>
          </cell>
          <cell r="U299">
            <v>1.1768000000000001</v>
          </cell>
          <cell r="V299">
            <v>0.18529999999999999</v>
          </cell>
          <cell r="W299">
            <v>0</v>
          </cell>
          <cell r="X299">
            <v>1.1768000000000001</v>
          </cell>
          <cell r="Y299">
            <v>0</v>
          </cell>
          <cell r="Z299">
            <v>35.442</v>
          </cell>
          <cell r="AA299">
            <v>37.980899999999998</v>
          </cell>
          <cell r="AB299">
            <v>36.804099999999998</v>
          </cell>
          <cell r="AF299" t="str">
            <v>M0802</v>
          </cell>
          <cell r="AG299" t="str">
            <v>Semipórtico duplo metálico para vão de 2 x 6,0 m e vento de 35 m/s</v>
          </cell>
          <cell r="AH299" t="str">
            <v>un</v>
          </cell>
          <cell r="AI299">
            <v>27317.046900000001</v>
          </cell>
        </row>
        <row r="300">
          <cell r="C300">
            <v>0.125</v>
          </cell>
          <cell r="D300" t="str">
            <v>kg</v>
          </cell>
          <cell r="F300">
            <v>5.8438999999999997</v>
          </cell>
          <cell r="I300">
            <v>0.73048749999999996</v>
          </cell>
          <cell r="R300" t="str">
            <v>E9722</v>
          </cell>
          <cell r="S300" t="str">
            <v>Conjunto bomba e macaco hidráulico para protensão com capacidade de 2.000 kN</v>
          </cell>
          <cell r="T300">
            <v>32844.932000000001</v>
          </cell>
          <cell r="U300">
            <v>1.8769</v>
          </cell>
          <cell r="V300">
            <v>0.29559999999999997</v>
          </cell>
          <cell r="W300">
            <v>0</v>
          </cell>
          <cell r="X300">
            <v>1.8769</v>
          </cell>
          <cell r="Y300">
            <v>0</v>
          </cell>
          <cell r="Z300">
            <v>35.442</v>
          </cell>
          <cell r="AA300">
            <v>39.491399999999999</v>
          </cell>
          <cell r="AB300">
            <v>37.6145</v>
          </cell>
          <cell r="AF300" t="str">
            <v>M0803</v>
          </cell>
          <cell r="AG300" t="str">
            <v>Semipórtico duplo metálico para vão de 2 x 7,2 m e vento de 35 m/s</v>
          </cell>
          <cell r="AH300" t="str">
            <v>un</v>
          </cell>
          <cell r="AI300">
            <v>33085.412499999999</v>
          </cell>
        </row>
        <row r="301">
          <cell r="C301">
            <v>0.25</v>
          </cell>
          <cell r="D301" t="str">
            <v>kg</v>
          </cell>
          <cell r="F301">
            <v>5.7857000000000003</v>
          </cell>
          <cell r="I301">
            <v>1.4464250000000001</v>
          </cell>
          <cell r="R301" t="str">
            <v>E9723</v>
          </cell>
          <cell r="S301" t="str">
            <v>Conjunto bomba e macaco hidráulico para protensão com capacidade de 2.500 kN</v>
          </cell>
          <cell r="T301">
            <v>38776.668400000002</v>
          </cell>
          <cell r="U301">
            <v>2.2158000000000002</v>
          </cell>
          <cell r="V301">
            <v>0.34899999999999998</v>
          </cell>
          <cell r="W301">
            <v>0</v>
          </cell>
          <cell r="X301">
            <v>2.2158000000000002</v>
          </cell>
          <cell r="Y301">
            <v>0</v>
          </cell>
          <cell r="Z301">
            <v>35.442</v>
          </cell>
          <cell r="AA301">
            <v>40.2226</v>
          </cell>
          <cell r="AB301">
            <v>38.006799999999998</v>
          </cell>
          <cell r="AF301" t="str">
            <v>M0804</v>
          </cell>
          <cell r="AG301" t="str">
            <v>Cabo de aço - D = 13 mm</v>
          </cell>
          <cell r="AH301" t="str">
            <v>m</v>
          </cell>
          <cell r="AI301">
            <v>13.3536</v>
          </cell>
        </row>
        <row r="302">
          <cell r="C302">
            <v>0.5</v>
          </cell>
          <cell r="D302" t="str">
            <v>l</v>
          </cell>
          <cell r="F302">
            <v>17.996500000000001</v>
          </cell>
          <cell r="I302">
            <v>8.9982500000000005</v>
          </cell>
          <cell r="R302" t="str">
            <v>E9724</v>
          </cell>
          <cell r="S302" t="str">
            <v>Conjunto bomba e macaco hidráulico para protensão com capacidade de 4.000 kN</v>
          </cell>
          <cell r="T302">
            <v>41468.517699999997</v>
          </cell>
          <cell r="U302">
            <v>2.3696000000000002</v>
          </cell>
          <cell r="V302">
            <v>0.37319999999999998</v>
          </cell>
          <cell r="W302">
            <v>0</v>
          </cell>
          <cell r="X302">
            <v>2.3696000000000002</v>
          </cell>
          <cell r="Y302">
            <v>0</v>
          </cell>
          <cell r="Z302">
            <v>35.442</v>
          </cell>
          <cell r="AA302">
            <v>40.554400000000001</v>
          </cell>
          <cell r="AB302">
            <v>38.184800000000003</v>
          </cell>
          <cell r="AF302" t="str">
            <v>M0805</v>
          </cell>
          <cell r="AG302" t="str">
            <v>Semipórtico duplo metálico para vão de 2 x 8,3 m e vento de 35 m/s</v>
          </cell>
          <cell r="AH302" t="str">
            <v>un</v>
          </cell>
          <cell r="AI302">
            <v>37746.500999999997</v>
          </cell>
        </row>
        <row r="303">
          <cell r="C303" t="str">
            <v>Custo unitário total de material</v>
          </cell>
          <cell r="I303">
            <v>11.175162500000001</v>
          </cell>
          <cell r="R303" t="str">
            <v>E9725</v>
          </cell>
          <cell r="S303" t="str">
            <v>Conjunto bomba e macaco hidráulico para protensão com capacidade de 5.400 kN</v>
          </cell>
          <cell r="T303">
            <v>44320.438099999999</v>
          </cell>
          <cell r="U303">
            <v>2.5326</v>
          </cell>
          <cell r="V303">
            <v>0.39889999999999998</v>
          </cell>
          <cell r="W303">
            <v>0</v>
          </cell>
          <cell r="X303">
            <v>2.5326</v>
          </cell>
          <cell r="Y303">
            <v>0</v>
          </cell>
          <cell r="Z303">
            <v>35.442</v>
          </cell>
          <cell r="AA303">
            <v>40.906100000000002</v>
          </cell>
          <cell r="AB303">
            <v>38.3735</v>
          </cell>
          <cell r="AF303" t="str">
            <v>M0808</v>
          </cell>
          <cell r="AG303" t="str">
            <v>Brita 4 (rachinha)</v>
          </cell>
          <cell r="AH303" t="str">
            <v>m³</v>
          </cell>
          <cell r="AI303">
            <v>59.122199999999999</v>
          </cell>
        </row>
        <row r="304">
          <cell r="C304" t="str">
            <v>Quantidade</v>
          </cell>
          <cell r="D304" t="str">
            <v>Unidade</v>
          </cell>
          <cell r="E304" t="str">
            <v>Custo Unitário</v>
          </cell>
          <cell r="G304" t="str">
            <v>Custo Unitário</v>
          </cell>
          <cell r="R304" t="str">
            <v>E9726</v>
          </cell>
          <cell r="S304" t="str">
            <v>Bate-estaca Strauss - 15 kW</v>
          </cell>
          <cell r="T304">
            <v>86105.383499999996</v>
          </cell>
          <cell r="U304">
            <v>4.9203000000000001</v>
          </cell>
          <cell r="V304">
            <v>0.77490000000000003</v>
          </cell>
          <cell r="W304">
            <v>0</v>
          </cell>
          <cell r="X304">
            <v>3.6901999999999999</v>
          </cell>
          <cell r="Y304">
            <v>6.2439</v>
          </cell>
          <cell r="Z304">
            <v>27.014800000000001</v>
          </cell>
          <cell r="AA304">
            <v>42.644100000000002</v>
          </cell>
          <cell r="AB304">
            <v>32.71</v>
          </cell>
          <cell r="AF304" t="str">
            <v>M0809</v>
          </cell>
          <cell r="AG304" t="str">
            <v>Cabo de aço - D = 6,3 mm</v>
          </cell>
          <cell r="AH304" t="str">
            <v>m</v>
          </cell>
          <cell r="AI304">
            <v>5.2251000000000003</v>
          </cell>
        </row>
        <row r="305">
          <cell r="C305" t="str">
            <v>Custo total de atividades auxiliares</v>
          </cell>
          <cell r="R305" t="str">
            <v>E9727</v>
          </cell>
          <cell r="S305" t="str">
            <v>Posicionadora de trilhos - 7,4 kW</v>
          </cell>
          <cell r="T305">
            <v>435890.07669999998</v>
          </cell>
          <cell r="U305">
            <v>24.908000000000001</v>
          </cell>
          <cell r="V305">
            <v>3.923</v>
          </cell>
          <cell r="W305">
            <v>0</v>
          </cell>
          <cell r="X305">
            <v>21.794499999999999</v>
          </cell>
          <cell r="Y305">
            <v>2.8433999999999999</v>
          </cell>
          <cell r="Z305">
            <v>0</v>
          </cell>
          <cell r="AA305">
            <v>53.468899999999998</v>
          </cell>
          <cell r="AB305">
            <v>28.831</v>
          </cell>
          <cell r="AF305" t="str">
            <v>M0812</v>
          </cell>
          <cell r="AG305" t="str">
            <v>Sapatilha tipo Standard - D = 6,3 mm</v>
          </cell>
          <cell r="AH305" t="str">
            <v>un</v>
          </cell>
          <cell r="AI305">
            <v>1.71</v>
          </cell>
        </row>
        <row r="306">
          <cell r="G306" t="str">
            <v>Subtotal</v>
          </cell>
          <cell r="R306" t="str">
            <v>E9729</v>
          </cell>
          <cell r="S306" t="str">
            <v>Equipamento para pintura eletrostática a pó - 5,5 kW</v>
          </cell>
          <cell r="T306">
            <v>19963.820599999999</v>
          </cell>
          <cell r="U306">
            <v>1.5210999999999999</v>
          </cell>
          <cell r="V306">
            <v>0.20960000000000001</v>
          </cell>
          <cell r="W306">
            <v>0</v>
          </cell>
          <cell r="X306">
            <v>1.5210999999999999</v>
          </cell>
          <cell r="Y306">
            <v>0</v>
          </cell>
          <cell r="Z306">
            <v>0</v>
          </cell>
          <cell r="AA306">
            <v>3.2517999999999998</v>
          </cell>
          <cell r="AB306">
            <v>1.7306999999999999</v>
          </cell>
          <cell r="AF306" t="str">
            <v>M0813</v>
          </cell>
          <cell r="AG306" t="str">
            <v>Semipórtico metálico para vão de 2,7 m e vento de 40 m/s</v>
          </cell>
          <cell r="AH306" t="str">
            <v>un</v>
          </cell>
          <cell r="AI306">
            <v>16067.332700000001</v>
          </cell>
        </row>
        <row r="307">
          <cell r="C307" t="str">
            <v>Código</v>
          </cell>
          <cell r="D307" t="str">
            <v>Quantidade</v>
          </cell>
          <cell r="E307" t="str">
            <v>Unidade</v>
          </cell>
          <cell r="F307" t="str">
            <v>Custo Unitário</v>
          </cell>
          <cell r="H307" t="str">
            <v>Custo Unitário</v>
          </cell>
          <cell r="R307" t="str">
            <v>E9730</v>
          </cell>
          <cell r="S307" t="str">
            <v>Grupo vibrador/gerador - 2,8 kW</v>
          </cell>
          <cell r="T307">
            <v>47713.536399999997</v>
          </cell>
          <cell r="U307">
            <v>2.3856999999999999</v>
          </cell>
          <cell r="V307">
            <v>0.4294</v>
          </cell>
          <cell r="W307">
            <v>0</v>
          </cell>
          <cell r="X307">
            <v>1.7040999999999999</v>
          </cell>
          <cell r="Y307">
            <v>3.0137</v>
          </cell>
          <cell r="Z307">
            <v>0</v>
          </cell>
          <cell r="AA307">
            <v>7.5328999999999997</v>
          </cell>
          <cell r="AB307">
            <v>2.8151000000000002</v>
          </cell>
          <cell r="AF307" t="str">
            <v>M0814</v>
          </cell>
          <cell r="AG307" t="str">
            <v>Semipórtico metálico para vão de 3,8 m e vento de 40 m/s</v>
          </cell>
          <cell r="AH307" t="str">
            <v>un</v>
          </cell>
          <cell r="AI307">
            <v>16634.091499999999</v>
          </cell>
        </row>
        <row r="308">
          <cell r="C308">
            <v>5915474</v>
          </cell>
          <cell r="D308">
            <v>1.2999999999999999E-4</v>
          </cell>
          <cell r="E308" t="str">
            <v>t</v>
          </cell>
          <cell r="G308">
            <v>17.66</v>
          </cell>
          <cell r="I308">
            <v>2.2957999999999998E-3</v>
          </cell>
          <cell r="R308" t="str">
            <v>E9732</v>
          </cell>
          <cell r="S308" t="str">
            <v>Máquina para furar dormente - 6,7 kW</v>
          </cell>
          <cell r="T308">
            <v>58857.038399999998</v>
          </cell>
          <cell r="U308">
            <v>4.7085999999999997</v>
          </cell>
          <cell r="V308">
            <v>0.55620000000000003</v>
          </cell>
          <cell r="W308">
            <v>0</v>
          </cell>
          <cell r="X308">
            <v>4.7085999999999997</v>
          </cell>
          <cell r="Y308">
            <v>7.2112999999999996</v>
          </cell>
          <cell r="Z308">
            <v>0</v>
          </cell>
          <cell r="AA308">
            <v>17.184699999999999</v>
          </cell>
          <cell r="AB308">
            <v>5.2648000000000001</v>
          </cell>
          <cell r="AF308" t="str">
            <v>M0815</v>
          </cell>
          <cell r="AG308" t="str">
            <v>Semipórtico metálico para vão de 4,9 m e vento de 40 m/s</v>
          </cell>
          <cell r="AH308" t="str">
            <v>un</v>
          </cell>
          <cell r="AI308">
            <v>18737.2238</v>
          </cell>
        </row>
        <row r="309">
          <cell r="C309">
            <v>5915474</v>
          </cell>
          <cell r="D309">
            <v>2.5000000000000001E-4</v>
          </cell>
          <cell r="E309" t="str">
            <v>t</v>
          </cell>
          <cell r="G309">
            <v>17.66</v>
          </cell>
          <cell r="I309">
            <v>4.4150000000000005E-3</v>
          </cell>
          <cell r="R309" t="str">
            <v>E9733</v>
          </cell>
          <cell r="S309" t="str">
            <v>Tirefonadora/parafusadora - 6,7 kW</v>
          </cell>
          <cell r="T309">
            <v>61681.061900000001</v>
          </cell>
          <cell r="U309">
            <v>4.9344999999999999</v>
          </cell>
          <cell r="V309">
            <v>0.58289999999999997</v>
          </cell>
          <cell r="W309">
            <v>0</v>
          </cell>
          <cell r="X309">
            <v>4.9344999999999999</v>
          </cell>
          <cell r="Y309">
            <v>7.2112999999999996</v>
          </cell>
          <cell r="Z309">
            <v>0</v>
          </cell>
          <cell r="AA309">
            <v>17.6632</v>
          </cell>
          <cell r="AB309">
            <v>5.5174000000000003</v>
          </cell>
          <cell r="AF309" t="str">
            <v>M0816</v>
          </cell>
          <cell r="AG309" t="str">
            <v>Semipórtico metálico para vão de 6,0 m e vento de 40 m/s</v>
          </cell>
          <cell r="AH309" t="str">
            <v>un</v>
          </cell>
          <cell r="AI309">
            <v>19233.179800000002</v>
          </cell>
        </row>
        <row r="310">
          <cell r="C310">
            <v>5915474</v>
          </cell>
          <cell r="D310">
            <v>8.0000000000000004E-4</v>
          </cell>
          <cell r="E310" t="str">
            <v>t</v>
          </cell>
          <cell r="G310">
            <v>17.66</v>
          </cell>
          <cell r="I310">
            <v>1.4128E-2</v>
          </cell>
          <cell r="R310" t="str">
            <v>E9734</v>
          </cell>
          <cell r="S310" t="str">
            <v>Bomba projetora de argamassa de 2 m³/h - 5,5 kW</v>
          </cell>
          <cell r="T310">
            <v>68301.335699999996</v>
          </cell>
          <cell r="U310">
            <v>5.4641000000000002</v>
          </cell>
          <cell r="V310">
            <v>0.64539999999999997</v>
          </cell>
          <cell r="W310">
            <v>0</v>
          </cell>
          <cell r="X310">
            <v>4.7811000000000003</v>
          </cell>
          <cell r="Y310">
            <v>0</v>
          </cell>
          <cell r="Z310">
            <v>21.640999999999998</v>
          </cell>
          <cell r="AA310">
            <v>32.531599999999997</v>
          </cell>
          <cell r="AB310">
            <v>27.750499999999999</v>
          </cell>
          <cell r="AF310" t="str">
            <v>M0817</v>
          </cell>
          <cell r="AG310" t="str">
            <v>Semipórtico metálico para vão de 7,2 m e vento de 40 m/s</v>
          </cell>
          <cell r="AH310" t="str">
            <v>un</v>
          </cell>
          <cell r="AI310">
            <v>21989.644499999999</v>
          </cell>
        </row>
        <row r="311">
          <cell r="C311" t="str">
            <v>Custo unitário total de tempo fixo</v>
          </cell>
          <cell r="I311">
            <v>2.0838800000000001E-2</v>
          </cell>
          <cell r="R311" t="str">
            <v>E9735</v>
          </cell>
          <cell r="S311" t="str">
            <v>Máquina para serrar trilho - 5,0 kW</v>
          </cell>
          <cell r="T311">
            <v>19833.464599999999</v>
          </cell>
          <cell r="U311">
            <v>1.5867</v>
          </cell>
          <cell r="V311">
            <v>0.18740000000000001</v>
          </cell>
          <cell r="W311">
            <v>0</v>
          </cell>
          <cell r="X311">
            <v>1.5867</v>
          </cell>
          <cell r="Y311">
            <v>5.3815999999999997</v>
          </cell>
          <cell r="Z311">
            <v>0</v>
          </cell>
          <cell r="AA311">
            <v>8.7423999999999999</v>
          </cell>
          <cell r="AB311">
            <v>1.7741</v>
          </cell>
          <cell r="AF311" t="str">
            <v>M0818</v>
          </cell>
          <cell r="AG311" t="str">
            <v>Semipórtico metálico para vão de 8,3 m e vento de 40 m/s</v>
          </cell>
          <cell r="AH311" t="str">
            <v>un</v>
          </cell>
          <cell r="AI311">
            <v>25254.143700000001</v>
          </cell>
        </row>
        <row r="312">
          <cell r="C312" t="str">
            <v>Quantidade</v>
          </cell>
          <cell r="D312" t="str">
            <v>Unidade</v>
          </cell>
          <cell r="E312" t="str">
            <v>DMT</v>
          </cell>
          <cell r="I312" t="str">
            <v>Custo Unitário</v>
          </cell>
          <cell r="R312" t="str">
            <v>E9736</v>
          </cell>
          <cell r="S312" t="str">
            <v>Máquina para furar trilho - 1,2 kW</v>
          </cell>
          <cell r="T312">
            <v>26572.2752</v>
          </cell>
          <cell r="U312">
            <v>2.1257999999999999</v>
          </cell>
          <cell r="V312">
            <v>0.25109999999999999</v>
          </cell>
          <cell r="W312">
            <v>0</v>
          </cell>
          <cell r="X312">
            <v>2.1257999999999999</v>
          </cell>
          <cell r="Y312">
            <v>1.2916000000000001</v>
          </cell>
          <cell r="Z312">
            <v>0</v>
          </cell>
          <cell r="AA312">
            <v>5.7942999999999998</v>
          </cell>
          <cell r="AB312">
            <v>2.3769</v>
          </cell>
          <cell r="AF312" t="str">
            <v>M0819</v>
          </cell>
          <cell r="AG312" t="str">
            <v>Semipórtico duplo metálico para vão de 2 x 2,7 m e vento de 40 m/s</v>
          </cell>
          <cell r="AH312" t="str">
            <v>un</v>
          </cell>
          <cell r="AI312">
            <v>26466.116900000001</v>
          </cell>
        </row>
        <row r="313">
          <cell r="E313" t="str">
            <v>LN</v>
          </cell>
          <cell r="F313" t="str">
            <v>RP</v>
          </cell>
          <cell r="G313" t="str">
            <v>P</v>
          </cell>
          <cell r="R313" t="str">
            <v>E9738</v>
          </cell>
          <cell r="S313" t="str">
            <v>Máquina de esmerilhar topo e lateral de boleto - 5,2 kW</v>
          </cell>
          <cell r="T313">
            <v>63929.695500000002</v>
          </cell>
          <cell r="U313">
            <v>5.1143999999999998</v>
          </cell>
          <cell r="V313">
            <v>0.60409999999999997</v>
          </cell>
          <cell r="W313">
            <v>0</v>
          </cell>
          <cell r="X313">
            <v>5.1143999999999998</v>
          </cell>
          <cell r="Y313">
            <v>5.5968999999999998</v>
          </cell>
          <cell r="Z313">
            <v>0</v>
          </cell>
          <cell r="AA313">
            <v>16.4298</v>
          </cell>
          <cell r="AB313">
            <v>5.7184999999999997</v>
          </cell>
          <cell r="AF313" t="str">
            <v>M0820</v>
          </cell>
          <cell r="AG313" t="str">
            <v>Semipórtico duplo metálico para vão de 2 x 3,8 m e vento de 40 m/s</v>
          </cell>
          <cell r="AH313" t="str">
            <v>un</v>
          </cell>
          <cell r="AI313">
            <v>28922.049800000001</v>
          </cell>
        </row>
        <row r="314">
          <cell r="C314">
            <v>1.2999999999999999E-4</v>
          </cell>
          <cell r="D314" t="str">
            <v>tkm</v>
          </cell>
          <cell r="E314">
            <v>5915322</v>
          </cell>
          <cell r="F314">
            <v>5915323</v>
          </cell>
          <cell r="G314">
            <v>5915324</v>
          </cell>
          <cell r="R314" t="str">
            <v>E9740</v>
          </cell>
          <cell r="S314" t="str">
            <v>Quadro tubular contraventado para andaime de 1 x 1 x 1 m com capacidade de 2 t</v>
          </cell>
          <cell r="T314">
            <v>368.327</v>
          </cell>
          <cell r="U314">
            <v>6.6299999999999998E-2</v>
          </cell>
          <cell r="V314">
            <v>7.0000000000000001E-3</v>
          </cell>
          <cell r="W314">
            <v>0</v>
          </cell>
          <cell r="X314">
            <v>2.2100000000000002E-2</v>
          </cell>
          <cell r="Y314">
            <v>0</v>
          </cell>
          <cell r="Z314">
            <v>0</v>
          </cell>
          <cell r="AA314">
            <v>9.5399999999999999E-2</v>
          </cell>
          <cell r="AB314">
            <v>7.3300000000000004E-2</v>
          </cell>
          <cell r="AF314" t="str">
            <v>M0821</v>
          </cell>
          <cell r="AG314" t="str">
            <v>Semipórtico duplo metálico para vão de 2 x 4,9 m e vento de 40 m/s</v>
          </cell>
          <cell r="AH314" t="str">
            <v>un</v>
          </cell>
          <cell r="AI314">
            <v>30161.365300000001</v>
          </cell>
        </row>
        <row r="315">
          <cell r="C315">
            <v>2.5000000000000001E-4</v>
          </cell>
          <cell r="D315" t="str">
            <v>tkm</v>
          </cell>
          <cell r="E315">
            <v>5915322</v>
          </cell>
          <cell r="F315">
            <v>5915323</v>
          </cell>
          <cell r="G315">
            <v>5915324</v>
          </cell>
          <cell r="R315" t="str">
            <v>E9743</v>
          </cell>
          <cell r="S315" t="str">
            <v>Locomotiva diesel/elétrica - 1.492 kW</v>
          </cell>
          <cell r="T315">
            <v>7532513.4809999997</v>
          </cell>
          <cell r="U315">
            <v>120.5202</v>
          </cell>
          <cell r="V315">
            <v>61.691299999999998</v>
          </cell>
          <cell r="W315">
            <v>0</v>
          </cell>
          <cell r="X315">
            <v>150.65029999999999</v>
          </cell>
          <cell r="Y315">
            <v>573.28610000000003</v>
          </cell>
          <cell r="Z315">
            <v>70.884</v>
          </cell>
          <cell r="AA315">
            <v>977.03189999999995</v>
          </cell>
          <cell r="AB315">
            <v>253.09549999999999</v>
          </cell>
          <cell r="AF315" t="str">
            <v>M0822</v>
          </cell>
          <cell r="AG315" t="str">
            <v>Semipórtico duplo metálico para vão de 2 x 6,0 m e vento de 40 m/s</v>
          </cell>
          <cell r="AH315" t="str">
            <v>un</v>
          </cell>
          <cell r="AI315">
            <v>30337.776900000001</v>
          </cell>
        </row>
        <row r="316">
          <cell r="C316">
            <v>8.0000000000000004E-4</v>
          </cell>
          <cell r="D316" t="str">
            <v>tkm</v>
          </cell>
          <cell r="E316">
            <v>5915322</v>
          </cell>
          <cell r="F316">
            <v>5915323</v>
          </cell>
          <cell r="G316">
            <v>5915324</v>
          </cell>
          <cell r="R316" t="str">
            <v>E9744</v>
          </cell>
          <cell r="S316" t="str">
            <v>Vagão plataforma com capacidade de 100 t</v>
          </cell>
          <cell r="T316">
            <v>290000</v>
          </cell>
          <cell r="U316">
            <v>4.6399999999999997</v>
          </cell>
          <cell r="V316">
            <v>2.3751000000000002</v>
          </cell>
          <cell r="W316">
            <v>0</v>
          </cell>
          <cell r="X316">
            <v>2.9</v>
          </cell>
          <cell r="Y316">
            <v>0</v>
          </cell>
          <cell r="Z316">
            <v>0</v>
          </cell>
          <cell r="AA316">
            <v>9.9151000000000007</v>
          </cell>
          <cell r="AB316">
            <v>7.0151000000000003</v>
          </cell>
          <cell r="AF316" t="str">
            <v>M0823</v>
          </cell>
          <cell r="AG316" t="str">
            <v>Semipórtico duplo metálico para vão de 2 x 7,2 m e vento de 40 m/s</v>
          </cell>
          <cell r="AH316" t="str">
            <v>un</v>
          </cell>
          <cell r="AI316">
            <v>36747.071799999998</v>
          </cell>
        </row>
        <row r="317">
          <cell r="C317" t="str">
            <v>Custo unitário total de transporte</v>
          </cell>
          <cell r="R317" t="str">
            <v>E9745</v>
          </cell>
          <cell r="S317" t="str">
            <v>Trator de pneus com roçadeira a diesel - 77 kW</v>
          </cell>
          <cell r="T317">
            <v>163472.92259999999</v>
          </cell>
          <cell r="U317">
            <v>10.898199999999999</v>
          </cell>
          <cell r="V317">
            <v>1.5019</v>
          </cell>
          <cell r="W317">
            <v>0</v>
          </cell>
          <cell r="X317">
            <v>9.5358999999999998</v>
          </cell>
          <cell r="Y317">
            <v>78.897300000000001</v>
          </cell>
          <cell r="Z317">
            <v>21.640999999999998</v>
          </cell>
          <cell r="AA317">
            <v>122.4743</v>
          </cell>
          <cell r="AB317">
            <v>34.0411</v>
          </cell>
          <cell r="AF317" t="str">
            <v>M0824</v>
          </cell>
          <cell r="AG317" t="str">
            <v>Semipórtico duplo metálico para vão de 2 x 8,3 m e vento de 40 m/s</v>
          </cell>
          <cell r="AH317" t="str">
            <v>un</v>
          </cell>
          <cell r="AI317">
            <v>41926.059099999999</v>
          </cell>
        </row>
        <row r="318">
          <cell r="C318">
            <v>5213355</v>
          </cell>
          <cell r="D318" t="str">
            <v>m²</v>
          </cell>
          <cell r="E318" t="str">
            <v>Custo unitário direto total</v>
          </cell>
          <cell r="I318">
            <v>13.790221112534461</v>
          </cell>
          <cell r="R318" t="str">
            <v>E9746</v>
          </cell>
          <cell r="S318" t="str">
            <v>Conjunto bomba e prensa para luva de emenda de 25 mm</v>
          </cell>
          <cell r="T318">
            <v>12980.09</v>
          </cell>
          <cell r="U318">
            <v>1.0384</v>
          </cell>
          <cell r="V318">
            <v>0.1227</v>
          </cell>
          <cell r="W318">
            <v>0</v>
          </cell>
          <cell r="X318">
            <v>0.64900000000000002</v>
          </cell>
          <cell r="Y318">
            <v>0</v>
          </cell>
          <cell r="Z318">
            <v>21.640999999999998</v>
          </cell>
          <cell r="AA318">
            <v>23.4511</v>
          </cell>
          <cell r="AB318">
            <v>22.802099999999999</v>
          </cell>
          <cell r="AF318" t="str">
            <v>M0825</v>
          </cell>
          <cell r="AG318" t="str">
            <v>Pórtico metálico para vão de 9,2 m e vento de 40 m/s</v>
          </cell>
          <cell r="AH318" t="str">
            <v>un</v>
          </cell>
          <cell r="AI318">
            <v>28762.3969</v>
          </cell>
        </row>
        <row r="319">
          <cell r="R319" t="str">
            <v>E9747</v>
          </cell>
          <cell r="S319" t="str">
            <v>Conjunto bomba e prensa para luva de emenda de 32 mm</v>
          </cell>
          <cell r="T319">
            <v>13629.09</v>
          </cell>
          <cell r="U319">
            <v>1.0903</v>
          </cell>
          <cell r="V319">
            <v>0.1288</v>
          </cell>
          <cell r="W319">
            <v>0</v>
          </cell>
          <cell r="X319">
            <v>0.68149999999999999</v>
          </cell>
          <cell r="Y319">
            <v>0</v>
          </cell>
          <cell r="Z319">
            <v>21.640999999999998</v>
          </cell>
          <cell r="AA319">
            <v>23.541599999999999</v>
          </cell>
          <cell r="AB319">
            <v>22.860099999999999</v>
          </cell>
          <cell r="AF319" t="str">
            <v>M0826</v>
          </cell>
          <cell r="AG319" t="str">
            <v>Pórtico metálico para vão de 10,3 m e vento de 40 m/s</v>
          </cell>
          <cell r="AH319" t="str">
            <v>un</v>
          </cell>
          <cell r="AI319">
            <v>38286.284099999997</v>
          </cell>
        </row>
        <row r="320">
          <cell r="R320" t="str">
            <v>E9748</v>
          </cell>
          <cell r="S320" t="str">
            <v>Rosqueadeira para rosca cônica - 750 W</v>
          </cell>
          <cell r="T320">
            <v>3349.5160999999998</v>
          </cell>
          <cell r="U320">
            <v>0.19139999999999999</v>
          </cell>
          <cell r="V320">
            <v>3.0099999999999998E-2</v>
          </cell>
          <cell r="W320">
            <v>0</v>
          </cell>
          <cell r="X320">
            <v>0.19139999999999999</v>
          </cell>
          <cell r="Y320">
            <v>0</v>
          </cell>
          <cell r="Z320">
            <v>21.640999999999998</v>
          </cell>
          <cell r="AA320">
            <v>22.053899999999999</v>
          </cell>
          <cell r="AB320">
            <v>21.862500000000001</v>
          </cell>
          <cell r="AF320" t="str">
            <v>M0827</v>
          </cell>
          <cell r="AG320" t="str">
            <v>Pórtico metálico para vão de 11,4 m e vento de 40 m/s</v>
          </cell>
          <cell r="AH320" t="str">
            <v>un</v>
          </cell>
          <cell r="AI320">
            <v>39041.796799999996</v>
          </cell>
        </row>
        <row r="321">
          <cell r="I321" t="str">
            <v>DNIT</v>
          </cell>
          <cell r="R321" t="str">
            <v>E9749</v>
          </cell>
          <cell r="S321" t="str">
            <v>Jateador portátil multiabrasivo com capacidade de 100 l</v>
          </cell>
          <cell r="T321">
            <v>5195.8649999999998</v>
          </cell>
          <cell r="U321">
            <v>0.46760000000000002</v>
          </cell>
          <cell r="V321">
            <v>4.9099999999999998E-2</v>
          </cell>
          <cell r="W321">
            <v>0</v>
          </cell>
          <cell r="X321">
            <v>0.46760000000000002</v>
          </cell>
          <cell r="Y321">
            <v>0</v>
          </cell>
          <cell r="Z321">
            <v>21.640999999999998</v>
          </cell>
          <cell r="AA321">
            <v>22.625299999999999</v>
          </cell>
          <cell r="AB321">
            <v>22.157699999999998</v>
          </cell>
          <cell r="AF321" t="str">
            <v>M0828</v>
          </cell>
          <cell r="AG321" t="str">
            <v>Pórtico metálico para vão de 12,5 m e vento de 40 m/s</v>
          </cell>
          <cell r="AH321" t="str">
            <v>un</v>
          </cell>
          <cell r="AI321">
            <v>39797.309600000001</v>
          </cell>
        </row>
        <row r="322">
          <cell r="R322" t="str">
            <v>E9755</v>
          </cell>
          <cell r="S322" t="str">
            <v>Bomba de alta pressão para jet grouting 450 bar - 150 kW</v>
          </cell>
          <cell r="T322">
            <v>988175.74990000005</v>
          </cell>
          <cell r="U322">
            <v>79.054100000000005</v>
          </cell>
          <cell r="V322">
            <v>9.3383000000000003</v>
          </cell>
          <cell r="W322">
            <v>0</v>
          </cell>
          <cell r="X322">
            <v>79.054100000000005</v>
          </cell>
          <cell r="Y322">
            <v>91.257000000000005</v>
          </cell>
          <cell r="Z322">
            <v>21.640999999999998</v>
          </cell>
          <cell r="AA322">
            <v>280.34449999999998</v>
          </cell>
          <cell r="AB322">
            <v>110.0334</v>
          </cell>
          <cell r="AF322" t="str">
            <v>M0829</v>
          </cell>
          <cell r="AG322" t="str">
            <v>Pórtico metálico para vão de 13,6 m e vento de 40 m/s</v>
          </cell>
          <cell r="AH322" t="str">
            <v>un</v>
          </cell>
          <cell r="AI322">
            <v>41029.198499999999</v>
          </cell>
        </row>
        <row r="323">
          <cell r="D323" t="str">
            <v>Outubro/2019</v>
          </cell>
          <cell r="G323" t="str">
            <v>Produção da equipe</v>
          </cell>
          <cell r="H323">
            <v>80.319999999999993</v>
          </cell>
          <cell r="I323" t="str">
            <v>un</v>
          </cell>
          <cell r="R323" t="str">
            <v>E9756</v>
          </cell>
          <cell r="S323" t="str">
            <v>Calandra para chapas de aço até 25 mm - 22 kW</v>
          </cell>
          <cell r="T323">
            <v>554823.25399999996</v>
          </cell>
          <cell r="U323">
            <v>22.192900000000002</v>
          </cell>
          <cell r="V323">
            <v>4.8061999999999996</v>
          </cell>
          <cell r="W323">
            <v>0</v>
          </cell>
          <cell r="X323">
            <v>19.418800000000001</v>
          </cell>
          <cell r="Y323">
            <v>0</v>
          </cell>
          <cell r="Z323">
            <v>21.640999999999998</v>
          </cell>
          <cell r="AA323">
            <v>68.058899999999994</v>
          </cell>
          <cell r="AB323">
            <v>48.640099999999997</v>
          </cell>
          <cell r="AF323" t="str">
            <v>M0830</v>
          </cell>
          <cell r="AG323" t="str">
            <v>Pórtico metálico para vão de 14,8 m e vento de 40 m/s</v>
          </cell>
          <cell r="AH323" t="str">
            <v>un</v>
          </cell>
          <cell r="AI323">
            <v>41636.294000000002</v>
          </cell>
        </row>
        <row r="324">
          <cell r="H324" t="str">
            <v>Valores em reais (R$)</v>
          </cell>
          <cell r="R324" t="str">
            <v>E9758</v>
          </cell>
          <cell r="S324" t="str">
            <v>Vibroacabadora de asfalto sobre pneus - 72 kW</v>
          </cell>
          <cell r="T324">
            <v>734736.44480000006</v>
          </cell>
          <cell r="U324">
            <v>41.984900000000003</v>
          </cell>
          <cell r="V324">
            <v>6.6125999999999996</v>
          </cell>
          <cell r="W324">
            <v>0</v>
          </cell>
          <cell r="X324">
            <v>47.2331</v>
          </cell>
          <cell r="Y324">
            <v>43.803400000000003</v>
          </cell>
          <cell r="Z324">
            <v>35.442</v>
          </cell>
          <cell r="AA324">
            <v>175.07599999999999</v>
          </cell>
          <cell r="AB324">
            <v>84.039500000000004</v>
          </cell>
          <cell r="AF324" t="str">
            <v>M0831</v>
          </cell>
          <cell r="AG324" t="str">
            <v>Pórtico metálico para vão de 15,9 m e vento de 40 m/s</v>
          </cell>
          <cell r="AH324" t="str">
            <v>un</v>
          </cell>
          <cell r="AI324">
            <v>42390.800799999997</v>
          </cell>
        </row>
        <row r="325">
          <cell r="C325" t="str">
            <v>Quantidade</v>
          </cell>
          <cell r="D325" t="str">
            <v>Utilização</v>
          </cell>
          <cell r="F325" t="str">
            <v>Custo Horário</v>
          </cell>
          <cell r="I325" t="str">
            <v>Custo</v>
          </cell>
          <cell r="R325" t="str">
            <v>E9760</v>
          </cell>
          <cell r="S325" t="str">
            <v>Perfuratriz manual para coroa diamantada - 1,6 kW</v>
          </cell>
          <cell r="T325">
            <v>9970.9158000000007</v>
          </cell>
          <cell r="U325">
            <v>0.79769999999999996</v>
          </cell>
          <cell r="V325">
            <v>9.4200000000000006E-2</v>
          </cell>
          <cell r="W325">
            <v>0</v>
          </cell>
          <cell r="X325">
            <v>0.79769999999999996</v>
          </cell>
          <cell r="Y325">
            <v>0</v>
          </cell>
          <cell r="Z325">
            <v>0</v>
          </cell>
          <cell r="AA325">
            <v>1.6896</v>
          </cell>
          <cell r="AB325">
            <v>0.89190000000000003</v>
          </cell>
          <cell r="AF325" t="str">
            <v>M0832</v>
          </cell>
          <cell r="AG325" t="str">
            <v>Pórtico metálico para vão de 17,0 m e vento de 40 m/s</v>
          </cell>
          <cell r="AH325" t="str">
            <v>un</v>
          </cell>
          <cell r="AI325">
            <v>45127.145299999996</v>
          </cell>
        </row>
        <row r="326">
          <cell r="D326" t="str">
            <v>Operativa</v>
          </cell>
          <cell r="E326" t="str">
            <v>Improdutiva</v>
          </cell>
          <cell r="F326" t="str">
            <v>Produtivo</v>
          </cell>
          <cell r="G326" t="str">
            <v>Improdutivo</v>
          </cell>
          <cell r="I326" t="str">
            <v>Horário Total</v>
          </cell>
          <cell r="R326" t="str">
            <v>E9761</v>
          </cell>
          <cell r="S326" t="str">
            <v>Guincho de coluna com capacidade de 200 kg - 920 W</v>
          </cell>
          <cell r="T326">
            <v>2848.2483999999999</v>
          </cell>
          <cell r="U326">
            <v>0.22789999999999999</v>
          </cell>
          <cell r="V326">
            <v>2.69E-2</v>
          </cell>
          <cell r="W326">
            <v>0</v>
          </cell>
          <cell r="X326">
            <v>0.1709</v>
          </cell>
          <cell r="Y326">
            <v>0</v>
          </cell>
          <cell r="Z326">
            <v>0</v>
          </cell>
          <cell r="AA326">
            <v>0.42570000000000002</v>
          </cell>
          <cell r="AB326">
            <v>0.25480000000000003</v>
          </cell>
          <cell r="AF326" t="str">
            <v>M0833</v>
          </cell>
          <cell r="AG326" t="str">
            <v>Pórtico metálico para vão de 18,1 m e vento de 40 m/s</v>
          </cell>
          <cell r="AH326" t="str">
            <v>un</v>
          </cell>
          <cell r="AI326">
            <v>46020.481299999999</v>
          </cell>
        </row>
        <row r="327">
          <cell r="C327">
            <v>1</v>
          </cell>
          <cell r="D327">
            <v>1</v>
          </cell>
          <cell r="E327">
            <v>0</v>
          </cell>
          <cell r="F327">
            <v>87.298900000000003</v>
          </cell>
          <cell r="G327">
            <v>37.209699999999998</v>
          </cell>
          <cell r="I327">
            <v>87.298900000000003</v>
          </cell>
          <cell r="R327" t="str">
            <v>E9762</v>
          </cell>
          <cell r="S327" t="str">
            <v>Rolo compactador de pneus autopropelido de 27 t - 85 kW</v>
          </cell>
          <cell r="T327">
            <v>506134.06449999998</v>
          </cell>
          <cell r="U327">
            <v>33.7423</v>
          </cell>
          <cell r="V327">
            <v>4.6501000000000001</v>
          </cell>
          <cell r="W327">
            <v>0</v>
          </cell>
          <cell r="X327">
            <v>33.7423</v>
          </cell>
          <cell r="Y327">
            <v>35.382100000000001</v>
          </cell>
          <cell r="Z327">
            <v>27.014800000000001</v>
          </cell>
          <cell r="AA327">
            <v>134.5316</v>
          </cell>
          <cell r="AB327">
            <v>65.407200000000003</v>
          </cell>
          <cell r="AF327" t="str">
            <v>M0834</v>
          </cell>
          <cell r="AG327" t="str">
            <v>Pórtico metálico para vão de 19,2 m e vento de 40 m/s</v>
          </cell>
          <cell r="AH327" t="str">
            <v>un</v>
          </cell>
          <cell r="AI327">
            <v>47408.267399999997</v>
          </cell>
        </row>
        <row r="328">
          <cell r="C328">
            <v>1</v>
          </cell>
          <cell r="D328">
            <v>1</v>
          </cell>
          <cell r="E328">
            <v>0</v>
          </cell>
          <cell r="F328">
            <v>2.6341999999999999</v>
          </cell>
          <cell r="G328">
            <v>0.1467</v>
          </cell>
          <cell r="I328">
            <v>2.6341999999999999</v>
          </cell>
          <cell r="R328" t="str">
            <v>E9763</v>
          </cell>
          <cell r="S328" t="str">
            <v>Grupo gerador - 36/40 kVA</v>
          </cell>
          <cell r="T328">
            <v>46701.237099999998</v>
          </cell>
          <cell r="U328">
            <v>2.3351000000000002</v>
          </cell>
          <cell r="V328">
            <v>0.42030000000000001</v>
          </cell>
          <cell r="W328">
            <v>0</v>
          </cell>
          <cell r="X328">
            <v>1.6678999999999999</v>
          </cell>
          <cell r="Y328">
            <v>18.2514</v>
          </cell>
          <cell r="Z328">
            <v>0</v>
          </cell>
          <cell r="AA328">
            <v>22.674700000000001</v>
          </cell>
          <cell r="AB328">
            <v>2.7553999999999998</v>
          </cell>
          <cell r="AF328" t="str">
            <v>M0835</v>
          </cell>
          <cell r="AG328" t="str">
            <v>Pórtico metálico para vão de 20,3 m e vento de 40 m/s</v>
          </cell>
          <cell r="AH328" t="str">
            <v>un</v>
          </cell>
          <cell r="AI328">
            <v>48133.100200000001</v>
          </cell>
        </row>
        <row r="329">
          <cell r="C329">
            <v>1</v>
          </cell>
          <cell r="D329">
            <v>1</v>
          </cell>
          <cell r="E329">
            <v>0</v>
          </cell>
          <cell r="F329">
            <v>0.58899999999999997</v>
          </cell>
          <cell r="G329">
            <v>0.31090000000000001</v>
          </cell>
          <cell r="I329">
            <v>0.58899999999999997</v>
          </cell>
          <cell r="R329" t="str">
            <v>E9766</v>
          </cell>
          <cell r="S329" t="str">
            <v>Prensa hidráulica para fabricação de blocos pré-moldados - 20 kW</v>
          </cell>
          <cell r="T329">
            <v>47769.146099999998</v>
          </cell>
          <cell r="U329">
            <v>3.2414999999999998</v>
          </cell>
          <cell r="V329">
            <v>0.4299</v>
          </cell>
          <cell r="W329">
            <v>0</v>
          </cell>
          <cell r="X329">
            <v>2.7296999999999998</v>
          </cell>
          <cell r="Y329">
            <v>0</v>
          </cell>
          <cell r="Z329">
            <v>21.640999999999998</v>
          </cell>
          <cell r="AA329">
            <v>28.042100000000001</v>
          </cell>
          <cell r="AB329">
            <v>25.3124</v>
          </cell>
          <cell r="AF329" t="str">
            <v>M0836</v>
          </cell>
          <cell r="AG329" t="str">
            <v>Pórtico metálico para vão de 21,5 m e vento de 40 m/s</v>
          </cell>
          <cell r="AH329" t="str">
            <v>un</v>
          </cell>
          <cell r="AI329">
            <v>50625.9905</v>
          </cell>
        </row>
        <row r="330">
          <cell r="G330" t="str">
            <v>Custo horário total de equipamentos</v>
          </cell>
          <cell r="I330">
            <v>90.522099999999995</v>
          </cell>
          <cell r="R330" t="str">
            <v>E9768</v>
          </cell>
          <cell r="S330" t="str">
            <v>Compressor de ar portátil de 778 PCM - 184 kW</v>
          </cell>
          <cell r="T330">
            <v>362470.35690000001</v>
          </cell>
          <cell r="U330">
            <v>24.1647</v>
          </cell>
          <cell r="V330">
            <v>3.3302</v>
          </cell>
          <cell r="W330">
            <v>0</v>
          </cell>
          <cell r="X330">
            <v>24.1647</v>
          </cell>
          <cell r="Y330">
            <v>100.15860000000001</v>
          </cell>
          <cell r="Z330">
            <v>0</v>
          </cell>
          <cell r="AA330">
            <v>151.81819999999999</v>
          </cell>
          <cell r="AB330">
            <v>27.494900000000001</v>
          </cell>
          <cell r="AF330" t="str">
            <v>M0837</v>
          </cell>
          <cell r="AG330" t="str">
            <v>Pórtico metálico para vão de 22,6 m e vento de 40 m/s</v>
          </cell>
          <cell r="AH330" t="str">
            <v>un</v>
          </cell>
          <cell r="AI330">
            <v>51703.695399999997</v>
          </cell>
        </row>
        <row r="331">
          <cell r="C331" t="str">
            <v>Quantidade</v>
          </cell>
          <cell r="D331" t="str">
            <v>Unidade</v>
          </cell>
          <cell r="E331" t="str">
            <v>Custo Horário</v>
          </cell>
          <cell r="G331" t="str">
            <v>Custo Horário Total</v>
          </cell>
          <cell r="R331" t="str">
            <v>E9769</v>
          </cell>
          <cell r="S331" t="str">
            <v>Cunha hidráulica com três cilindros e acessórios com capacidade de 3.000 kN - 5,6 kW</v>
          </cell>
          <cell r="T331">
            <v>141401.42670000001</v>
          </cell>
          <cell r="U331">
            <v>11.312099999999999</v>
          </cell>
          <cell r="V331">
            <v>1.3362000000000001</v>
          </cell>
          <cell r="W331">
            <v>0</v>
          </cell>
          <cell r="X331">
            <v>11.312099999999999</v>
          </cell>
          <cell r="Y331">
            <v>3.4068999999999998</v>
          </cell>
          <cell r="Z331">
            <v>21.640999999999998</v>
          </cell>
          <cell r="AA331">
            <v>49.008299999999998</v>
          </cell>
          <cell r="AB331">
            <v>34.289299999999997</v>
          </cell>
          <cell r="AF331" t="str">
            <v>M0838</v>
          </cell>
          <cell r="AG331" t="str">
            <v>Pórtico metálico para vão de 23,7 m e vento de 40 m/s</v>
          </cell>
          <cell r="AH331" t="str">
            <v>un</v>
          </cell>
          <cell r="AI331">
            <v>52412.662400000001</v>
          </cell>
        </row>
        <row r="332">
          <cell r="C332">
            <v>2</v>
          </cell>
          <cell r="D332" t="str">
            <v>h</v>
          </cell>
          <cell r="F332">
            <v>27.550999999999998</v>
          </cell>
          <cell r="I332">
            <v>55.101999999999997</v>
          </cell>
          <cell r="R332" t="str">
            <v>E9775</v>
          </cell>
          <cell r="S332" t="str">
            <v>Escavadeira hidráulica com martelo hidráulico de 1.700 kg - 103 kW</v>
          </cell>
          <cell r="T332">
            <v>1017318.612</v>
          </cell>
          <cell r="U332">
            <v>116.265</v>
          </cell>
          <cell r="V332">
            <v>10.3004</v>
          </cell>
          <cell r="W332">
            <v>0</v>
          </cell>
          <cell r="X332">
            <v>145.3312</v>
          </cell>
          <cell r="Y332">
            <v>42.8748</v>
          </cell>
          <cell r="Z332">
            <v>27.014800000000001</v>
          </cell>
          <cell r="AA332">
            <v>341.78620000000001</v>
          </cell>
          <cell r="AB332">
            <v>153.58019999999999</v>
          </cell>
          <cell r="AF332" t="str">
            <v>M0839</v>
          </cell>
          <cell r="AG332" t="str">
            <v>Pórtico metálico para vão de 24,8 m e vento de 40 m/s</v>
          </cell>
          <cell r="AH332" t="str">
            <v>un</v>
          </cell>
          <cell r="AI332">
            <v>58865.2042</v>
          </cell>
        </row>
        <row r="333">
          <cell r="C333">
            <v>4</v>
          </cell>
          <cell r="D333" t="str">
            <v>h</v>
          </cell>
          <cell r="F333">
            <v>19.378599999999999</v>
          </cell>
          <cell r="I333">
            <v>77.514399999999995</v>
          </cell>
          <cell r="R333" t="str">
            <v>E9776</v>
          </cell>
          <cell r="S333" t="str">
            <v>Grupo gerador - 145/160 kVA</v>
          </cell>
          <cell r="T333">
            <v>89124.097999999998</v>
          </cell>
          <cell r="U333">
            <v>4.4561999999999999</v>
          </cell>
          <cell r="V333">
            <v>0.80210000000000004</v>
          </cell>
          <cell r="W333">
            <v>0</v>
          </cell>
          <cell r="X333">
            <v>3.1829999999999998</v>
          </cell>
          <cell r="Y333">
            <v>70.572100000000006</v>
          </cell>
          <cell r="Z333">
            <v>0</v>
          </cell>
          <cell r="AA333">
            <v>79.013400000000004</v>
          </cell>
          <cell r="AB333">
            <v>5.2583000000000002</v>
          </cell>
          <cell r="AF333" t="str">
            <v>M0840</v>
          </cell>
          <cell r="AG333" t="str">
            <v>Pórtico metálico para vão de 26,0 m e vento de 40 m/s</v>
          </cell>
          <cell r="AH333" t="str">
            <v>un</v>
          </cell>
          <cell r="AI333">
            <v>59994.952299999997</v>
          </cell>
        </row>
        <row r="334">
          <cell r="C334" t="str">
            <v>Custo horário total de mão de obra</v>
          </cell>
          <cell r="H334">
            <v>132.6164</v>
          </cell>
          <cell r="R334" t="str">
            <v>E9777</v>
          </cell>
          <cell r="S334" t="str">
            <v>Extrusora de barreira de concreto - 74 kW</v>
          </cell>
          <cell r="T334">
            <v>1033622.0209999999</v>
          </cell>
          <cell r="U334">
            <v>72.353499999999997</v>
          </cell>
          <cell r="V334">
            <v>9.7676999999999996</v>
          </cell>
          <cell r="W334">
            <v>0</v>
          </cell>
          <cell r="X334">
            <v>93.025999999999996</v>
          </cell>
          <cell r="Y334">
            <v>35.542200000000001</v>
          </cell>
          <cell r="Z334">
            <v>27.014800000000001</v>
          </cell>
          <cell r="AA334">
            <v>237.70419999999999</v>
          </cell>
          <cell r="AB334">
            <v>109.136</v>
          </cell>
          <cell r="AF334" t="str">
            <v>M0841</v>
          </cell>
          <cell r="AG334" t="str">
            <v>Pórtico metálico para vão de 27,1 m e vento de 40 m/s</v>
          </cell>
          <cell r="AH334" t="str">
            <v>un</v>
          </cell>
          <cell r="AI334">
            <v>65005.698700000001</v>
          </cell>
        </row>
        <row r="335">
          <cell r="C335" t="str">
            <v>Custo horário total de execução</v>
          </cell>
          <cell r="I335">
            <v>223.13849999999999</v>
          </cell>
          <cell r="R335" t="str">
            <v>E9778</v>
          </cell>
          <cell r="S335" t="str">
            <v>Grupo gerador - 310/340 kVA</v>
          </cell>
          <cell r="T335">
            <v>135212.46189999999</v>
          </cell>
          <cell r="U335">
            <v>6.7606000000000002</v>
          </cell>
          <cell r="V335">
            <v>1.2169000000000001</v>
          </cell>
          <cell r="W335">
            <v>0</v>
          </cell>
          <cell r="X335">
            <v>4.8289999999999997</v>
          </cell>
          <cell r="Y335">
            <v>158.1788</v>
          </cell>
          <cell r="Z335">
            <v>0</v>
          </cell>
          <cell r="AA335">
            <v>170.9853</v>
          </cell>
          <cell r="AB335">
            <v>7.9775</v>
          </cell>
          <cell r="AF335" t="str">
            <v>M0842</v>
          </cell>
          <cell r="AG335" t="str">
            <v>Semipórtico metálico para vão de 2,7 m e vento de 45 m/s</v>
          </cell>
          <cell r="AH335" t="str">
            <v>un</v>
          </cell>
          <cell r="AI335">
            <v>17511.999599999999</v>
          </cell>
        </row>
        <row r="336">
          <cell r="C336" t="str">
            <v>Custo unitário de execução</v>
          </cell>
          <cell r="I336">
            <v>2.7781187749003986</v>
          </cell>
          <cell r="R336" t="str">
            <v>E9779</v>
          </cell>
          <cell r="S336" t="str">
            <v>Grupo gerador - 100/110 kVA</v>
          </cell>
          <cell r="T336">
            <v>56901.747100000001</v>
          </cell>
          <cell r="U336">
            <v>2.8451</v>
          </cell>
          <cell r="V336">
            <v>0.5121</v>
          </cell>
          <cell r="W336">
            <v>0</v>
          </cell>
          <cell r="X336">
            <v>2.0322</v>
          </cell>
          <cell r="Y336">
            <v>51.103900000000003</v>
          </cell>
          <cell r="Z336">
            <v>0</v>
          </cell>
          <cell r="AA336">
            <v>56.493299999999998</v>
          </cell>
          <cell r="AB336">
            <v>3.3572000000000002</v>
          </cell>
          <cell r="AF336" t="str">
            <v>M0843</v>
          </cell>
          <cell r="AG336" t="str">
            <v>Semipórtico metálico para vão de 3,8 m e vento de 45 m/s</v>
          </cell>
          <cell r="AH336" t="str">
            <v>un</v>
          </cell>
          <cell r="AI336">
            <v>19547.060099999999</v>
          </cell>
        </row>
        <row r="337">
          <cell r="G337" t="str">
            <v>Custo do FIC</v>
          </cell>
          <cell r="I337" t="str">
            <v>-</v>
          </cell>
          <cell r="R337" t="str">
            <v>E9780</v>
          </cell>
          <cell r="S337" t="str">
            <v>Misturador automático para grouteamento com capacidade de 20 m³/h - 7 kW</v>
          </cell>
          <cell r="T337">
            <v>166809.03219999999</v>
          </cell>
          <cell r="U337">
            <v>13.3447</v>
          </cell>
          <cell r="V337">
            <v>1.5763</v>
          </cell>
          <cell r="W337">
            <v>0</v>
          </cell>
          <cell r="X337">
            <v>13.3447</v>
          </cell>
          <cell r="Y337">
            <v>4.2587000000000002</v>
          </cell>
          <cell r="Z337">
            <v>21.640999999999998</v>
          </cell>
          <cell r="AA337">
            <v>54.165399999999998</v>
          </cell>
          <cell r="AB337">
            <v>36.561999999999998</v>
          </cell>
          <cell r="AF337" t="str">
            <v>M0844</v>
          </cell>
          <cell r="AG337" t="str">
            <v>Semipórtico metálico para vão de 4,9 m e vento de 45 m/s</v>
          </cell>
          <cell r="AH337" t="str">
            <v>un</v>
          </cell>
          <cell r="AI337">
            <v>20464.441900000002</v>
          </cell>
        </row>
        <row r="338">
          <cell r="G338" t="str">
            <v>Custo do FIT</v>
          </cell>
          <cell r="I338" t="str">
            <v>-</v>
          </cell>
          <cell r="R338" t="str">
            <v>E9781</v>
          </cell>
          <cell r="S338" t="str">
            <v>Misturador com bomba para grouteamento tipo Flex E - 25 kW</v>
          </cell>
          <cell r="T338">
            <v>367499.85</v>
          </cell>
          <cell r="U338">
            <v>29.4</v>
          </cell>
          <cell r="V338">
            <v>3.4729000000000001</v>
          </cell>
          <cell r="W338">
            <v>0</v>
          </cell>
          <cell r="X338">
            <v>29.4</v>
          </cell>
          <cell r="Y338">
            <v>0</v>
          </cell>
          <cell r="Z338">
            <v>21.640999999999998</v>
          </cell>
          <cell r="AA338">
            <v>83.913899999999998</v>
          </cell>
          <cell r="AB338">
            <v>54.5139</v>
          </cell>
          <cell r="AF338" t="str">
            <v>M0845</v>
          </cell>
          <cell r="AG338" t="str">
            <v>Semipórtico metálico para vão de 6,0 m e vento de 45 m/s</v>
          </cell>
          <cell r="AH338" t="str">
            <v>un</v>
          </cell>
          <cell r="AI338">
            <v>21009.9935</v>
          </cell>
        </row>
        <row r="339">
          <cell r="C339" t="str">
            <v>Quantidade</v>
          </cell>
          <cell r="D339" t="str">
            <v>Unidade</v>
          </cell>
          <cell r="E339" t="str">
            <v>Preço Unitário</v>
          </cell>
          <cell r="G339" t="str">
            <v>Custo Unitário</v>
          </cell>
          <cell r="R339" t="str">
            <v>E9782</v>
          </cell>
          <cell r="S339" t="str">
            <v>Perfuratriz pneumática com avanço de coluna de 33,5 kg</v>
          </cell>
          <cell r="T339">
            <v>42438.636100000003</v>
          </cell>
          <cell r="U339">
            <v>3.3950999999999998</v>
          </cell>
          <cell r="V339">
            <v>0.40100000000000002</v>
          </cell>
          <cell r="W339">
            <v>0</v>
          </cell>
          <cell r="X339">
            <v>3.3950999999999998</v>
          </cell>
          <cell r="Y339">
            <v>0</v>
          </cell>
          <cell r="Z339">
            <v>21.640999999999998</v>
          </cell>
          <cell r="AA339">
            <v>28.8322</v>
          </cell>
          <cell r="AB339">
            <v>25.437100000000001</v>
          </cell>
          <cell r="AF339" t="str">
            <v>M0847</v>
          </cell>
          <cell r="AG339" t="str">
            <v>Semipórtico metálico para vão de 7,2 m e vento de 45 m/s</v>
          </cell>
          <cell r="AH339" t="str">
            <v>un</v>
          </cell>
          <cell r="AI339">
            <v>24113.839599999999</v>
          </cell>
        </row>
        <row r="340">
          <cell r="C340">
            <v>0.08</v>
          </cell>
          <cell r="D340" t="str">
            <v>kg</v>
          </cell>
          <cell r="F340">
            <v>18.323</v>
          </cell>
          <cell r="I340">
            <v>1.46584</v>
          </cell>
          <cell r="R340" t="str">
            <v>E9784</v>
          </cell>
          <cell r="S340" t="str">
            <v>Plataforma autopropelida com alcance de 12 m com capacidade de 700 kg - 24 kW</v>
          </cell>
          <cell r="T340">
            <v>356144.9645</v>
          </cell>
          <cell r="U340">
            <v>23.742999999999999</v>
          </cell>
          <cell r="V340">
            <v>3.2721</v>
          </cell>
          <cell r="W340">
            <v>0</v>
          </cell>
          <cell r="X340">
            <v>23.742999999999999</v>
          </cell>
          <cell r="Y340">
            <v>11.527200000000001</v>
          </cell>
          <cell r="Z340">
            <v>21.640999999999998</v>
          </cell>
          <cell r="AA340">
            <v>83.926299999999998</v>
          </cell>
          <cell r="AB340">
            <v>48.656100000000002</v>
          </cell>
          <cell r="AF340" t="str">
            <v>M0848</v>
          </cell>
          <cell r="AG340" t="str">
            <v>Semipórtico metálico para vão de 8,3 m e vento de 45 m/s</v>
          </cell>
          <cell r="AH340" t="str">
            <v>un</v>
          </cell>
          <cell r="AI340">
            <v>27715.5615</v>
          </cell>
        </row>
        <row r="341">
          <cell r="C341">
            <v>1</v>
          </cell>
          <cell r="D341" t="str">
            <v>un</v>
          </cell>
          <cell r="F341">
            <v>11.051500000000001</v>
          </cell>
          <cell r="I341">
            <v>11.051500000000001</v>
          </cell>
          <cell r="R341" t="str">
            <v>E9785</v>
          </cell>
          <cell r="S341" t="str">
            <v>Guindaste sobre caminhão, com chassi 4 x 4 x 4, altura de elevação de 35,8 m com capacidade de 1.500 kN.m - 186 kW</v>
          </cell>
          <cell r="T341">
            <v>1607428.064</v>
          </cell>
          <cell r="U341">
            <v>80.371399999999994</v>
          </cell>
          <cell r="V341">
            <v>14.466900000000001</v>
          </cell>
          <cell r="W341">
            <v>11.4816</v>
          </cell>
          <cell r="X341">
            <v>103.3347</v>
          </cell>
          <cell r="Y341">
            <v>29.778600000000001</v>
          </cell>
          <cell r="Z341">
            <v>29.414200000000001</v>
          </cell>
          <cell r="AA341">
            <v>268.84739999999999</v>
          </cell>
          <cell r="AB341">
            <v>135.73410000000001</v>
          </cell>
          <cell r="AF341" t="str">
            <v>M0849</v>
          </cell>
          <cell r="AG341" t="str">
            <v>Corda de sisal - D = 12,5 mm</v>
          </cell>
          <cell r="AH341" t="str">
            <v>m</v>
          </cell>
          <cell r="AI341">
            <v>2.3214000000000001</v>
          </cell>
        </row>
        <row r="342">
          <cell r="C342" t="str">
            <v>Custo unitário total de material</v>
          </cell>
          <cell r="I342">
            <v>12.517340000000001</v>
          </cell>
          <cell r="R342" t="str">
            <v>E9788</v>
          </cell>
          <cell r="S342" t="str">
            <v>Misturador de argamassa com capacidade de 250 l - 3,7 kW</v>
          </cell>
          <cell r="T342">
            <v>10093.954</v>
          </cell>
          <cell r="U342">
            <v>0.8075</v>
          </cell>
          <cell r="V342">
            <v>9.5399999999999999E-2</v>
          </cell>
          <cell r="W342">
            <v>0</v>
          </cell>
          <cell r="X342">
            <v>0.8075</v>
          </cell>
          <cell r="Y342">
            <v>2.2509999999999999</v>
          </cell>
          <cell r="Z342">
            <v>21.640999999999998</v>
          </cell>
          <cell r="AA342">
            <v>25.602399999999999</v>
          </cell>
          <cell r="AB342">
            <v>22.543900000000001</v>
          </cell>
          <cell r="AF342" t="str">
            <v>M0850</v>
          </cell>
          <cell r="AG342" t="str">
            <v>Semipórtico duplo metálico para vão de 2 x 2,7 m e vento de 45 m/s</v>
          </cell>
          <cell r="AH342" t="str">
            <v>un</v>
          </cell>
          <cell r="AI342">
            <v>29099.680799999998</v>
          </cell>
        </row>
        <row r="343">
          <cell r="C343" t="str">
            <v>Quantidade</v>
          </cell>
          <cell r="D343" t="str">
            <v>Unidade</v>
          </cell>
          <cell r="E343" t="str">
            <v>Custo Unitário</v>
          </cell>
          <cell r="G343" t="str">
            <v>Custo Unitário</v>
          </cell>
          <cell r="R343" t="str">
            <v>E9789</v>
          </cell>
          <cell r="S343" t="str">
            <v>Carro manual modelo plataforma de 150 x 80 cm com capacidade de 800 kg</v>
          </cell>
          <cell r="T343">
            <v>911.86879999999996</v>
          </cell>
          <cell r="U343">
            <v>0.1641</v>
          </cell>
          <cell r="V343">
            <v>1.72E-2</v>
          </cell>
          <cell r="W343">
            <v>0</v>
          </cell>
          <cell r="X343">
            <v>9.1200000000000003E-2</v>
          </cell>
          <cell r="Y343">
            <v>0</v>
          </cell>
          <cell r="Z343">
            <v>0</v>
          </cell>
          <cell r="AA343">
            <v>0.27250000000000002</v>
          </cell>
          <cell r="AB343">
            <v>0.18129999999999999</v>
          </cell>
          <cell r="AF343" t="str">
            <v>M0851</v>
          </cell>
          <cell r="AG343" t="str">
            <v>Grampo leve para cabo de aço - D = 6,3 mm</v>
          </cell>
          <cell r="AH343" t="str">
            <v>un</v>
          </cell>
          <cell r="AI343">
            <v>0.72</v>
          </cell>
        </row>
        <row r="344">
          <cell r="C344" t="str">
            <v>Custo total de atividades auxiliares</v>
          </cell>
          <cell r="R344" t="str">
            <v>E9790</v>
          </cell>
          <cell r="S344" t="str">
            <v>Bomba para concreto projetado via úmida com capacidade de 10 m³/h - 14,7 kW</v>
          </cell>
          <cell r="T344">
            <v>127709.50810000001</v>
          </cell>
          <cell r="U344">
            <v>10.216799999999999</v>
          </cell>
          <cell r="V344">
            <v>1.2069000000000001</v>
          </cell>
          <cell r="W344">
            <v>0</v>
          </cell>
          <cell r="X344">
            <v>10.216799999999999</v>
          </cell>
          <cell r="Y344">
            <v>8.9431999999999992</v>
          </cell>
          <cell r="Z344">
            <v>35.442</v>
          </cell>
          <cell r="AA344">
            <v>66.025700000000001</v>
          </cell>
          <cell r="AB344">
            <v>46.865699999999997</v>
          </cell>
          <cell r="AF344" t="str">
            <v>M0852</v>
          </cell>
          <cell r="AG344" t="str">
            <v>Poste de concreto de 15 m</v>
          </cell>
          <cell r="AH344" t="str">
            <v>un</v>
          </cell>
          <cell r="AI344">
            <v>3627.9641999999999</v>
          </cell>
        </row>
        <row r="345">
          <cell r="G345" t="str">
            <v>Subtotal</v>
          </cell>
          <cell r="R345" t="str">
            <v>E9793</v>
          </cell>
          <cell r="S345" t="str">
            <v>Robot para concreto projetado - 70 kW - com compressor diesel</v>
          </cell>
          <cell r="T345">
            <v>3411514.0320000001</v>
          </cell>
          <cell r="U345">
            <v>272.92110000000002</v>
          </cell>
          <cell r="V345">
            <v>32.238799999999998</v>
          </cell>
          <cell r="W345">
            <v>0</v>
          </cell>
          <cell r="X345">
            <v>272.92110000000002</v>
          </cell>
          <cell r="Y345">
            <v>42.586599999999997</v>
          </cell>
          <cell r="Z345">
            <v>35.442</v>
          </cell>
          <cell r="AA345">
            <v>656.1096</v>
          </cell>
          <cell r="AB345">
            <v>340.6019</v>
          </cell>
          <cell r="AF345" t="str">
            <v>M0853</v>
          </cell>
          <cell r="AG345" t="str">
            <v>Junta plástica de 27 x 3 mm</v>
          </cell>
          <cell r="AH345" t="str">
            <v>m</v>
          </cell>
          <cell r="AI345">
            <v>1.7055</v>
          </cell>
        </row>
        <row r="346">
          <cell r="C346" t="str">
            <v>Código</v>
          </cell>
          <cell r="D346" t="str">
            <v>Quantidade</v>
          </cell>
          <cell r="E346" t="str">
            <v>Unidade</v>
          </cell>
          <cell r="F346" t="str">
            <v>Custo Unitário</v>
          </cell>
          <cell r="H346" t="str">
            <v>Custo Unitário</v>
          </cell>
          <cell r="R346" t="str">
            <v>E9795</v>
          </cell>
          <cell r="S346" t="str">
            <v>Carreta de perfuração de superfície com martelo de topo e controle remoto via rádio - 46 kW</v>
          </cell>
          <cell r="T346">
            <v>1680214.064</v>
          </cell>
          <cell r="U346">
            <v>112.01430000000001</v>
          </cell>
          <cell r="V346">
            <v>15.436999999999999</v>
          </cell>
          <cell r="W346">
            <v>0</v>
          </cell>
          <cell r="X346">
            <v>112.01430000000001</v>
          </cell>
          <cell r="Y346">
            <v>22.093800000000002</v>
          </cell>
          <cell r="Z346">
            <v>27.014800000000001</v>
          </cell>
          <cell r="AA346">
            <v>288.57420000000002</v>
          </cell>
          <cell r="AB346">
            <v>154.46610000000001</v>
          </cell>
          <cell r="AF346" t="str">
            <v>M0854</v>
          </cell>
          <cell r="AG346" t="str">
            <v>Semipórtico duplo metálico para vão de 2 x 3,8 m e vento de 45 m/s</v>
          </cell>
          <cell r="AH346" t="str">
            <v>un</v>
          </cell>
          <cell r="AI346">
            <v>31801.206900000001</v>
          </cell>
        </row>
        <row r="347">
          <cell r="C347">
            <v>5915474</v>
          </cell>
          <cell r="D347">
            <v>2.9999999999999997E-4</v>
          </cell>
          <cell r="E347" t="str">
            <v>t</v>
          </cell>
          <cell r="G347">
            <v>17.66</v>
          </cell>
          <cell r="I347">
            <v>5.2979999999999998E-3</v>
          </cell>
          <cell r="R347" t="str">
            <v>E9797</v>
          </cell>
          <cell r="S347" t="str">
            <v>Jumbo eletro-hidráulico com 3 braços - 233 kW</v>
          </cell>
          <cell r="T347">
            <v>7419324.0640000002</v>
          </cell>
          <cell r="U347">
            <v>494.6216</v>
          </cell>
          <cell r="V347">
            <v>68.165000000000006</v>
          </cell>
          <cell r="W347">
            <v>0</v>
          </cell>
          <cell r="X347">
            <v>618.27700000000004</v>
          </cell>
          <cell r="Y347">
            <v>156.6739</v>
          </cell>
          <cell r="Z347">
            <v>35.442</v>
          </cell>
          <cell r="AA347">
            <v>1373.1795</v>
          </cell>
          <cell r="AB347">
            <v>598.22860000000003</v>
          </cell>
          <cell r="AF347" t="str">
            <v>M0855</v>
          </cell>
          <cell r="AG347" t="str">
            <v>Semipórtico duplo metálico para vão de 2 x 4,9 m e vento de 45 m/s</v>
          </cell>
          <cell r="AH347" t="str">
            <v>un</v>
          </cell>
          <cell r="AI347">
            <v>33164.454100000003</v>
          </cell>
        </row>
        <row r="348">
          <cell r="C348" t="str">
            <v>Custo unitário total de tempo fixo</v>
          </cell>
          <cell r="I348">
            <v>5.2979999999999998E-3</v>
          </cell>
          <cell r="R348" t="str">
            <v>E9798</v>
          </cell>
          <cell r="S348" t="str">
            <v>Perfuratriz hidráulica rotopercussiva - 123 kW</v>
          </cell>
          <cell r="T348">
            <v>1206432.594</v>
          </cell>
          <cell r="U348">
            <v>80.428799999999995</v>
          </cell>
          <cell r="V348">
            <v>11.084099999999999</v>
          </cell>
          <cell r="W348">
            <v>0</v>
          </cell>
          <cell r="X348">
            <v>80.428799999999995</v>
          </cell>
          <cell r="Y348">
            <v>59.076900000000002</v>
          </cell>
          <cell r="Z348">
            <v>27.014800000000001</v>
          </cell>
          <cell r="AA348">
            <v>258.03339999999997</v>
          </cell>
          <cell r="AB348">
            <v>118.5277</v>
          </cell>
          <cell r="AF348" t="str">
            <v>M0856</v>
          </cell>
          <cell r="AG348" t="str">
            <v>Semipórtico duplo metálico para vão de 2 x 6,0 m e vento de 45 m/s</v>
          </cell>
          <cell r="AH348" t="str">
            <v>un</v>
          </cell>
          <cell r="AI348">
            <v>33358.506699999998</v>
          </cell>
        </row>
        <row r="349">
          <cell r="C349" t="str">
            <v>Quantidade</v>
          </cell>
          <cell r="D349" t="str">
            <v>Unidade</v>
          </cell>
          <cell r="E349" t="str">
            <v>DMT</v>
          </cell>
          <cell r="I349" t="str">
            <v>Custo Unitário</v>
          </cell>
          <cell r="R349" t="str">
            <v>E9013</v>
          </cell>
          <cell r="S349" t="str">
            <v>Caminhão tanque de asfalto com capacidade de 31.000 l - 265 kW</v>
          </cell>
          <cell r="T349">
            <v>0</v>
          </cell>
          <cell r="U349">
            <v>0</v>
          </cell>
          <cell r="V349">
            <v>0</v>
          </cell>
          <cell r="W349">
            <v>0</v>
          </cell>
          <cell r="X349">
            <v>0</v>
          </cell>
          <cell r="Y349">
            <v>0</v>
          </cell>
          <cell r="Z349">
            <v>0</v>
          </cell>
          <cell r="AA349">
            <v>254.8081</v>
          </cell>
          <cell r="AB349">
            <v>58.5548</v>
          </cell>
          <cell r="AF349" t="str">
            <v>M0857</v>
          </cell>
          <cell r="AG349" t="str">
            <v>Semipórtico duplo metálico para vão de 2 x 7,2 m e vento de 45 m/s</v>
          </cell>
          <cell r="AH349" t="str">
            <v>un</v>
          </cell>
          <cell r="AI349">
            <v>40408.731299999999</v>
          </cell>
        </row>
        <row r="350">
          <cell r="E350" t="str">
            <v>LN</v>
          </cell>
          <cell r="F350" t="str">
            <v>RP</v>
          </cell>
          <cell r="G350" t="str">
            <v>P</v>
          </cell>
          <cell r="R350" t="str">
            <v>A9335</v>
          </cell>
          <cell r="S350" t="str">
            <v>Cavalo mecânico estradeiro 6 x 2, PBT 23.000 kg - 265 kW - Motorista de caminhão</v>
          </cell>
          <cell r="T350">
            <v>450714.63669999997</v>
          </cell>
          <cell r="U350">
            <v>19.316299999999998</v>
          </cell>
          <cell r="V350">
            <v>4.0564</v>
          </cell>
          <cell r="W350">
            <v>3.2193999999999998</v>
          </cell>
          <cell r="X350">
            <v>28.974499999999999</v>
          </cell>
          <cell r="Y350">
            <v>161.22069999999999</v>
          </cell>
          <cell r="Z350">
            <v>24.831199999999999</v>
          </cell>
          <cell r="AA350">
            <v>241.61850000000001</v>
          </cell>
          <cell r="AB350">
            <v>51.423299999999998</v>
          </cell>
          <cell r="AF350" t="str">
            <v>M0858</v>
          </cell>
          <cell r="AG350" t="str">
            <v>Semipórtico duplo metálico para vão de 2 x 8,3 m e vento de 45 m/s</v>
          </cell>
          <cell r="AH350" t="str">
            <v>un</v>
          </cell>
          <cell r="AI350">
            <v>46105.617299999998</v>
          </cell>
        </row>
        <row r="351">
          <cell r="C351">
            <v>2.9999999999999997E-4</v>
          </cell>
          <cell r="D351" t="str">
            <v>tkm</v>
          </cell>
          <cell r="E351">
            <v>5915322</v>
          </cell>
          <cell r="F351">
            <v>5915323</v>
          </cell>
          <cell r="G351">
            <v>5915324</v>
          </cell>
          <cell r="R351" t="str">
            <v>A9364</v>
          </cell>
          <cell r="S351" t="str">
            <v>Tanque isotérmico de asfalto com capacidade de 31.000 l</v>
          </cell>
          <cell r="T351">
            <v>151453</v>
          </cell>
          <cell r="U351">
            <v>6.0580999999999996</v>
          </cell>
          <cell r="V351">
            <v>1.0733999999999999</v>
          </cell>
          <cell r="W351">
            <v>0</v>
          </cell>
          <cell r="X351">
            <v>6.0580999999999996</v>
          </cell>
          <cell r="Y351">
            <v>0</v>
          </cell>
          <cell r="Z351">
            <v>0</v>
          </cell>
          <cell r="AA351">
            <v>13.1896</v>
          </cell>
          <cell r="AB351">
            <v>7.1315</v>
          </cell>
          <cell r="AF351" t="str">
            <v>M0859</v>
          </cell>
          <cell r="AG351" t="str">
            <v>Pórtico metálico para vão de 9,2 m e vento de 45 m/s</v>
          </cell>
          <cell r="AH351" t="str">
            <v>un</v>
          </cell>
          <cell r="AI351">
            <v>31438.882099999999</v>
          </cell>
        </row>
        <row r="352">
          <cell r="C352" t="str">
            <v>Custo unitário total de transporte</v>
          </cell>
          <cell r="R352" t="str">
            <v>E9018</v>
          </cell>
          <cell r="S352" t="str">
            <v>Cavalo mecânico com dolly intermediário e semirreboque de 4 eixos com capacidade de 53 t - 323 kW</v>
          </cell>
          <cell r="T352">
            <v>0</v>
          </cell>
          <cell r="U352">
            <v>0</v>
          </cell>
          <cell r="V352">
            <v>0</v>
          </cell>
          <cell r="W352">
            <v>0</v>
          </cell>
          <cell r="X352">
            <v>0</v>
          </cell>
          <cell r="Y352">
            <v>0</v>
          </cell>
          <cell r="Z352">
            <v>0</v>
          </cell>
          <cell r="AA352">
            <v>290.72789999999998</v>
          </cell>
          <cell r="AB352">
            <v>87.746899999999997</v>
          </cell>
          <cell r="AF352" t="str">
            <v>M0860</v>
          </cell>
          <cell r="AG352" t="str">
            <v>Pórtico metálico para vão de 10,3 m e vento de 45 m/s</v>
          </cell>
          <cell r="AH352" t="str">
            <v>un</v>
          </cell>
          <cell r="AI352">
            <v>41946.586900000002</v>
          </cell>
        </row>
        <row r="353">
          <cell r="C353">
            <v>5213359</v>
          </cell>
          <cell r="D353" t="str">
            <v>un</v>
          </cell>
          <cell r="E353" t="str">
            <v>Custo unitário direto total</v>
          </cell>
          <cell r="I353">
            <v>15.3007567749004</v>
          </cell>
          <cell r="R353" t="str">
            <v>A9324</v>
          </cell>
          <cell r="S353" t="str">
            <v>Cavalo mecânico estradeiro 6 x 4, PBT 23.000 kg - 323 kW - Motorista de veículo especial</v>
          </cell>
          <cell r="T353">
            <v>518970.06050000002</v>
          </cell>
          <cell r="U353">
            <v>22.241599999999998</v>
          </cell>
          <cell r="V353">
            <v>4.6707000000000001</v>
          </cell>
          <cell r="W353">
            <v>3.7069000000000001</v>
          </cell>
          <cell r="X353">
            <v>33.362400000000001</v>
          </cell>
          <cell r="Y353">
            <v>144.7944</v>
          </cell>
          <cell r="Z353">
            <v>29.414200000000001</v>
          </cell>
          <cell r="AA353">
            <v>238.1902</v>
          </cell>
          <cell r="AB353">
            <v>60.0334</v>
          </cell>
          <cell r="AF353" t="str">
            <v>M0861</v>
          </cell>
          <cell r="AG353" t="str">
            <v>Pórtico metálico para vão de 11,4 m e vento de 45 m/s</v>
          </cell>
          <cell r="AH353" t="str">
            <v>un</v>
          </cell>
          <cell r="AI353">
            <v>42780.144099999998</v>
          </cell>
        </row>
        <row r="354">
          <cell r="R354" t="str">
            <v>A9355</v>
          </cell>
          <cell r="S354" t="str">
            <v>Semirreboque com 4 eixos</v>
          </cell>
          <cell r="T354">
            <v>265795</v>
          </cell>
          <cell r="U354">
            <v>17.7197</v>
          </cell>
          <cell r="V354">
            <v>4.5350999999999999</v>
          </cell>
          <cell r="W354">
            <v>0</v>
          </cell>
          <cell r="X354">
            <v>19.9346</v>
          </cell>
          <cell r="Y354">
            <v>0</v>
          </cell>
          <cell r="Z354">
            <v>0</v>
          </cell>
          <cell r="AA354">
            <v>42.189399999999999</v>
          </cell>
          <cell r="AB354">
            <v>22.254799999999999</v>
          </cell>
          <cell r="AF354" t="str">
            <v>M0862</v>
          </cell>
          <cell r="AG354" t="str">
            <v>Pórtico metálico para vão de 12,5 m e vento de 45 m/s</v>
          </cell>
          <cell r="AH354" t="str">
            <v>un</v>
          </cell>
          <cell r="AI354">
            <v>43613.701300000001</v>
          </cell>
        </row>
        <row r="355">
          <cell r="R355" t="str">
            <v>A9382</v>
          </cell>
          <cell r="S355" t="str">
            <v>Dolly intermediário com 2 eixos para semirreboque</v>
          </cell>
          <cell r="T355">
            <v>65195</v>
          </cell>
          <cell r="U355">
            <v>4.3463000000000003</v>
          </cell>
          <cell r="V355">
            <v>1.1124000000000001</v>
          </cell>
          <cell r="W355">
            <v>0</v>
          </cell>
          <cell r="X355">
            <v>4.8895999999999997</v>
          </cell>
          <cell r="Y355">
            <v>0</v>
          </cell>
          <cell r="Z355">
            <v>0</v>
          </cell>
          <cell r="AA355">
            <v>10.3483</v>
          </cell>
          <cell r="AB355">
            <v>5.4587000000000003</v>
          </cell>
          <cell r="AF355" t="str">
            <v>M0863</v>
          </cell>
          <cell r="AG355" t="str">
            <v>Pórtico metálico para vão de 13,6 m e vento de 45 m/s</v>
          </cell>
          <cell r="AH355" t="str">
            <v>un</v>
          </cell>
          <cell r="AI355">
            <v>44807.985699999997</v>
          </cell>
        </row>
        <row r="356">
          <cell r="I356" t="str">
            <v>DNIT</v>
          </cell>
          <cell r="R356" t="str">
            <v>E9027</v>
          </cell>
          <cell r="S356" t="str">
            <v>Caminhão distribuidor de cimento com capacidade de 17 m³ - 188 kW</v>
          </cell>
          <cell r="T356">
            <v>0</v>
          </cell>
          <cell r="U356">
            <v>0</v>
          </cell>
          <cell r="V356">
            <v>0</v>
          </cell>
          <cell r="W356">
            <v>0</v>
          </cell>
          <cell r="X356">
            <v>0</v>
          </cell>
          <cell r="Y356">
            <v>0</v>
          </cell>
          <cell r="Z356">
            <v>0</v>
          </cell>
          <cell r="AA356">
            <v>225.44130000000001</v>
          </cell>
          <cell r="AB356">
            <v>67.061499999999995</v>
          </cell>
          <cell r="AF356" t="str">
            <v>M0864</v>
          </cell>
          <cell r="AG356" t="str">
            <v>Pórtico metálico para vão de 14,8 m e vento de 45 m/s</v>
          </cell>
          <cell r="AH356" t="str">
            <v>un</v>
          </cell>
          <cell r="AI356">
            <v>45642.652800000003</v>
          </cell>
        </row>
        <row r="357">
          <cell r="R357" t="str">
            <v>A9333</v>
          </cell>
          <cell r="S357" t="str">
            <v>Caminhão plataforma 8 x 2, PBT 29.000 kg e distância entre eixos 4,8 m - 188 kW - Motorista de caminhão</v>
          </cell>
          <cell r="T357">
            <v>331936.23680000001</v>
          </cell>
          <cell r="U357">
            <v>14.2258</v>
          </cell>
          <cell r="V357">
            <v>2.9874000000000001</v>
          </cell>
          <cell r="W357">
            <v>2.371</v>
          </cell>
          <cell r="X357">
            <v>21.338799999999999</v>
          </cell>
          <cell r="Y357">
            <v>114.3754</v>
          </cell>
          <cell r="Z357">
            <v>24.831199999999999</v>
          </cell>
          <cell r="AA357">
            <v>180.12960000000001</v>
          </cell>
          <cell r="AB357">
            <v>44.415399999999998</v>
          </cell>
          <cell r="AF357" t="str">
            <v>M0865</v>
          </cell>
          <cell r="AG357" t="str">
            <v>Pórtico metálico para vão de 15,9 m e vento de 45 m/s</v>
          </cell>
          <cell r="AH357" t="str">
            <v>un</v>
          </cell>
          <cell r="AI357">
            <v>46475.100100000003</v>
          </cell>
        </row>
        <row r="358">
          <cell r="D358" t="str">
            <v>Outubro/2019</v>
          </cell>
          <cell r="G358" t="str">
            <v>Produção da equipe</v>
          </cell>
          <cell r="H358">
            <v>13.5</v>
          </cell>
          <cell r="I358" t="str">
            <v>un</v>
          </cell>
          <cell r="R358" t="str">
            <v>A9365</v>
          </cell>
          <cell r="S358" t="str">
            <v>Distribuidor de cimento montado sobre chassi com capacidade de 17 m³</v>
          </cell>
          <cell r="T358">
            <v>266950.52620000002</v>
          </cell>
          <cell r="U358">
            <v>20.147200000000002</v>
          </cell>
          <cell r="V358">
            <v>2.4988999999999999</v>
          </cell>
          <cell r="W358">
            <v>0</v>
          </cell>
          <cell r="X358">
            <v>22.665600000000001</v>
          </cell>
          <cell r="Y358">
            <v>0</v>
          </cell>
          <cell r="Z358">
            <v>0</v>
          </cell>
          <cell r="AA358">
            <v>45.311700000000002</v>
          </cell>
          <cell r="AB358">
            <v>22.646100000000001</v>
          </cell>
          <cell r="AF358" t="str">
            <v>M0866</v>
          </cell>
          <cell r="AG358" t="str">
            <v>Pórtico metálico para vão de 17,0 m e vento de 45 m/s</v>
          </cell>
          <cell r="AH358" t="str">
            <v>un</v>
          </cell>
          <cell r="AI358">
            <v>49494.109100000001</v>
          </cell>
        </row>
        <row r="359">
          <cell r="H359" t="str">
            <v>Valores em reais (R$)</v>
          </cell>
          <cell r="R359" t="str">
            <v>E9037</v>
          </cell>
          <cell r="S359" t="str">
            <v>Plataforma de inspeção sob pontes montada em caminhão com capacidade de 500 kg e alcance de 14 m - 188 kW</v>
          </cell>
          <cell r="T359">
            <v>0</v>
          </cell>
          <cell r="U359">
            <v>0</v>
          </cell>
          <cell r="V359">
            <v>0</v>
          </cell>
          <cell r="W359">
            <v>0</v>
          </cell>
          <cell r="X359">
            <v>0</v>
          </cell>
          <cell r="Y359">
            <v>0</v>
          </cell>
          <cell r="Z359">
            <v>0</v>
          </cell>
          <cell r="AA359">
            <v>389.8956</v>
          </cell>
          <cell r="AB359">
            <v>163.71709999999999</v>
          </cell>
          <cell r="AF359" t="str">
            <v>M0867</v>
          </cell>
          <cell r="AG359" t="str">
            <v>Pórtico metálico para vão de 18,1 m e vento de 45 m/s</v>
          </cell>
          <cell r="AH359" t="str">
            <v>un</v>
          </cell>
          <cell r="AI359">
            <v>50479.726600000002</v>
          </cell>
        </row>
        <row r="360">
          <cell r="C360" t="str">
            <v>Quantidade</v>
          </cell>
          <cell r="D360" t="str">
            <v>Utilização</v>
          </cell>
          <cell r="F360" t="str">
            <v>Custo Horário</v>
          </cell>
          <cell r="I360" t="str">
            <v>Custo</v>
          </cell>
          <cell r="R360" t="str">
            <v>A9334</v>
          </cell>
          <cell r="S360" t="str">
            <v>Caminhão plataforma 8 x 2, PBT 29.000 kg e distância entre eixos 4,8 m - 188 kW - Motorista de veículo especial</v>
          </cell>
          <cell r="T360">
            <v>331936.23680000001</v>
          </cell>
          <cell r="U360">
            <v>14.2258</v>
          </cell>
          <cell r="V360">
            <v>2.9874000000000001</v>
          </cell>
          <cell r="W360">
            <v>2.371</v>
          </cell>
          <cell r="X360">
            <v>21.338799999999999</v>
          </cell>
          <cell r="Y360">
            <v>114.3754</v>
          </cell>
          <cell r="Z360">
            <v>29.414200000000001</v>
          </cell>
          <cell r="AA360">
            <v>184.71260000000001</v>
          </cell>
          <cell r="AB360">
            <v>48.998399999999997</v>
          </cell>
          <cell r="AF360" t="str">
            <v>M0868</v>
          </cell>
          <cell r="AG360" t="str">
            <v>Lâmpada compacta eletrônica PLE 20 W</v>
          </cell>
          <cell r="AH360" t="str">
            <v>un</v>
          </cell>
          <cell r="AI360">
            <v>7.4757999999999996</v>
          </cell>
        </row>
        <row r="361">
          <cell r="D361" t="str">
            <v>Operativa</v>
          </cell>
          <cell r="E361" t="str">
            <v>Improdutiva</v>
          </cell>
          <cell r="F361" t="str">
            <v>Produtivo</v>
          </cell>
          <cell r="G361" t="str">
            <v>Improdutivo</v>
          </cell>
          <cell r="I361" t="str">
            <v>Horário Total</v>
          </cell>
          <cell r="R361" t="str">
            <v>A9378</v>
          </cell>
          <cell r="S361" t="str">
            <v>Plataforma telescópica para inspeção de pontes montada sobre chassi com capacidade de 500 kg</v>
          </cell>
          <cell r="T361">
            <v>1407222.7709999999</v>
          </cell>
          <cell r="U361">
            <v>80.412700000000001</v>
          </cell>
          <cell r="V361">
            <v>12.664999999999999</v>
          </cell>
          <cell r="W361">
            <v>0</v>
          </cell>
          <cell r="X361">
            <v>90.464299999999994</v>
          </cell>
          <cell r="Y361">
            <v>0</v>
          </cell>
          <cell r="Z361">
            <v>21.640999999999998</v>
          </cell>
          <cell r="AA361">
            <v>205.18299999999999</v>
          </cell>
          <cell r="AB361">
            <v>114.7187</v>
          </cell>
          <cell r="AF361" t="str">
            <v>M0869</v>
          </cell>
          <cell r="AG361" t="str">
            <v>Pórtico metálico para vão de 19,2 m e vento de 45 m/s</v>
          </cell>
          <cell r="AH361" t="str">
            <v>un</v>
          </cell>
          <cell r="AI361">
            <v>51824.961499999998</v>
          </cell>
        </row>
        <row r="362">
          <cell r="C362">
            <v>1</v>
          </cell>
          <cell r="D362">
            <v>0.5</v>
          </cell>
          <cell r="E362">
            <v>0.5</v>
          </cell>
          <cell r="F362">
            <v>87.298900000000003</v>
          </cell>
          <cell r="G362">
            <v>37.209699999999998</v>
          </cell>
          <cell r="I362">
            <v>62.254300000000001</v>
          </cell>
          <cell r="R362" t="str">
            <v>E9041</v>
          </cell>
          <cell r="S362" t="str">
            <v>Caminhão carroceria com guindauto com capacidade de 45 t.m - 188 kW</v>
          </cell>
          <cell r="T362">
            <v>0</v>
          </cell>
          <cell r="U362">
            <v>0</v>
          </cell>
          <cell r="V362">
            <v>0</v>
          </cell>
          <cell r="W362">
            <v>0</v>
          </cell>
          <cell r="X362">
            <v>0</v>
          </cell>
          <cell r="Y362">
            <v>0</v>
          </cell>
          <cell r="Z362">
            <v>0</v>
          </cell>
          <cell r="AA362">
            <v>238.35169999999999</v>
          </cell>
          <cell r="AB362">
            <v>87.689300000000003</v>
          </cell>
          <cell r="AF362" t="str">
            <v>M0870</v>
          </cell>
          <cell r="AG362" t="str">
            <v>Pórtico metálico para vão de 20,3 m e vento de 45 m/s</v>
          </cell>
          <cell r="AH362" t="str">
            <v>un</v>
          </cell>
          <cell r="AI362">
            <v>52810.579100000003</v>
          </cell>
        </row>
        <row r="363">
          <cell r="G363" t="str">
            <v>Custo horário total de equipamentos</v>
          </cell>
          <cell r="I363">
            <v>62.254300000000001</v>
          </cell>
          <cell r="R363" t="str">
            <v>A9313</v>
          </cell>
          <cell r="S363" t="str">
            <v>Caminhão plataforma 6 x 2, PBT 24.100 kg e distância entre eixos 5,4 m - 188 kW - Motorista de veículo especial</v>
          </cell>
          <cell r="T363">
            <v>324707.1018</v>
          </cell>
          <cell r="U363">
            <v>13.916</v>
          </cell>
          <cell r="V363">
            <v>2.9224000000000001</v>
          </cell>
          <cell r="W363">
            <v>2.3193000000000001</v>
          </cell>
          <cell r="X363">
            <v>20.873999999999999</v>
          </cell>
          <cell r="Y363">
            <v>114.3754</v>
          </cell>
          <cell r="Z363">
            <v>29.414200000000001</v>
          </cell>
          <cell r="AA363">
            <v>183.82130000000001</v>
          </cell>
          <cell r="AB363">
            <v>48.571899999999999</v>
          </cell>
          <cell r="AF363" t="str">
            <v>M0871</v>
          </cell>
          <cell r="AG363" t="str">
            <v>Pórtico metálico para vão de 21,5 m e vento de 45 m/s</v>
          </cell>
          <cell r="AH363" t="str">
            <v>un</v>
          </cell>
          <cell r="AI363">
            <v>55560.984900000003</v>
          </cell>
        </row>
        <row r="364">
          <cell r="C364" t="str">
            <v>Quantidade</v>
          </cell>
          <cell r="D364" t="str">
            <v>Unidade</v>
          </cell>
          <cell r="E364" t="str">
            <v>Custo Horário</v>
          </cell>
          <cell r="G364" t="str">
            <v>Custo Horário Total</v>
          </cell>
          <cell r="R364" t="str">
            <v>A9351</v>
          </cell>
          <cell r="S364" t="str">
            <v>Carroceria de madeira com capacidade de 11 t</v>
          </cell>
          <cell r="T364">
            <v>17873.46</v>
          </cell>
          <cell r="U364">
            <v>1.2326999999999999</v>
          </cell>
          <cell r="V364">
            <v>0.16500000000000001</v>
          </cell>
          <cell r="W364">
            <v>0</v>
          </cell>
          <cell r="X364">
            <v>1.2326999999999999</v>
          </cell>
          <cell r="Y364">
            <v>0</v>
          </cell>
          <cell r="Z364">
            <v>0</v>
          </cell>
          <cell r="AA364">
            <v>2.6303999999999998</v>
          </cell>
          <cell r="AB364">
            <v>1.3976999999999999</v>
          </cell>
          <cell r="AF364" t="str">
            <v>M0872</v>
          </cell>
          <cell r="AG364" t="str">
            <v>Pórtico metálico para vão de 22,6 m e vento de 45 m/s</v>
          </cell>
          <cell r="AH364" t="str">
            <v>un</v>
          </cell>
          <cell r="AI364">
            <v>56549.9323</v>
          </cell>
        </row>
        <row r="365">
          <cell r="C365">
            <v>4</v>
          </cell>
          <cell r="D365" t="str">
            <v>h</v>
          </cell>
          <cell r="F365">
            <v>19.378599999999999</v>
          </cell>
          <cell r="I365">
            <v>77.514399999999995</v>
          </cell>
          <cell r="R365" t="str">
            <v>A9373</v>
          </cell>
          <cell r="S365" t="str">
            <v>Guindaste articulado montado sobre chassi com capacidade de 45 t.m</v>
          </cell>
          <cell r="T365">
            <v>205615</v>
          </cell>
          <cell r="U365">
            <v>14.180300000000001</v>
          </cell>
          <cell r="V365">
            <v>1.8984000000000001</v>
          </cell>
          <cell r="W365">
            <v>0</v>
          </cell>
          <cell r="X365">
            <v>14.180300000000001</v>
          </cell>
          <cell r="Y365">
            <v>0</v>
          </cell>
          <cell r="Z365">
            <v>21.640999999999998</v>
          </cell>
          <cell r="AA365">
            <v>51.9</v>
          </cell>
          <cell r="AB365">
            <v>37.719700000000003</v>
          </cell>
          <cell r="AF365" t="str">
            <v>M0873</v>
          </cell>
          <cell r="AG365" t="str">
            <v>Pórtico metálico para vão de 23,7 m e vento de 45 m/s</v>
          </cell>
          <cell r="AH365" t="str">
            <v>un</v>
          </cell>
          <cell r="AI365">
            <v>57532.220200000003</v>
          </cell>
        </row>
        <row r="366">
          <cell r="C366" t="str">
            <v>Custo horário total de mão de obra</v>
          </cell>
          <cell r="H366">
            <v>77.514399999999995</v>
          </cell>
          <cell r="R366" t="str">
            <v>E9082</v>
          </cell>
          <cell r="S366" t="str">
            <v>Bate-estaca hidráulico para defensas montado em caminhão guindauto com capacidade de 20 t.m e carroceria de 4 t - 136 kW</v>
          </cell>
          <cell r="T366">
            <v>0</v>
          </cell>
          <cell r="U366">
            <v>0</v>
          </cell>
          <cell r="V366">
            <v>0</v>
          </cell>
          <cell r="W366">
            <v>0</v>
          </cell>
          <cell r="X366">
            <v>0</v>
          </cell>
          <cell r="Y366">
            <v>0</v>
          </cell>
          <cell r="Z366">
            <v>0</v>
          </cell>
          <cell r="AA366">
            <v>224.70699999999999</v>
          </cell>
          <cell r="AB366">
            <v>106.235</v>
          </cell>
          <cell r="AF366" t="str">
            <v>M0874</v>
          </cell>
          <cell r="AG366" t="str">
            <v>Pórtico metálico para vão de 24,8 m e vento de 45 m/s</v>
          </cell>
          <cell r="AH366" t="str">
            <v>un</v>
          </cell>
          <cell r="AI366">
            <v>64651.309500000003</v>
          </cell>
        </row>
        <row r="367">
          <cell r="C367" t="str">
            <v>Custo horário total de execução</v>
          </cell>
          <cell r="I367">
            <v>139.7687</v>
          </cell>
          <cell r="R367" t="str">
            <v>A9323</v>
          </cell>
          <cell r="S367" t="str">
            <v>Caminhão plataforma 4 x 2, PBT 14.300 kg e distância entre eixos 4,8 m - 136 kW - Motorista de caminhão</v>
          </cell>
          <cell r="T367">
            <v>281365.40749999997</v>
          </cell>
          <cell r="U367">
            <v>12.0585</v>
          </cell>
          <cell r="V367">
            <v>2.5323000000000002</v>
          </cell>
          <cell r="W367">
            <v>2.0097999999999998</v>
          </cell>
          <cell r="X367">
            <v>18.087800000000001</v>
          </cell>
          <cell r="Y367">
            <v>82.739699999999999</v>
          </cell>
          <cell r="Z367">
            <v>24.831199999999999</v>
          </cell>
          <cell r="AA367">
            <v>142.2593</v>
          </cell>
          <cell r="AB367">
            <v>41.431800000000003</v>
          </cell>
          <cell r="AF367" t="str">
            <v>M0875</v>
          </cell>
          <cell r="AG367" t="str">
            <v>Manta asfáltica de 3 mm</v>
          </cell>
          <cell r="AH367" t="str">
            <v>m²</v>
          </cell>
          <cell r="AI367">
            <v>23.352</v>
          </cell>
        </row>
        <row r="368">
          <cell r="C368" t="str">
            <v>Custo unitário de execução</v>
          </cell>
          <cell r="I368">
            <v>10.353237037037037</v>
          </cell>
          <cell r="R368" t="str">
            <v>A9347</v>
          </cell>
          <cell r="S368" t="str">
            <v>Carroceria de madeira com capacidade de 4 t</v>
          </cell>
          <cell r="T368">
            <v>10310.84</v>
          </cell>
          <cell r="U368">
            <v>0.71109999999999995</v>
          </cell>
          <cell r="V368">
            <v>9.5200000000000007E-2</v>
          </cell>
          <cell r="W368">
            <v>0</v>
          </cell>
          <cell r="X368">
            <v>0.71109999999999995</v>
          </cell>
          <cell r="Y368">
            <v>0</v>
          </cell>
          <cell r="Z368">
            <v>0</v>
          </cell>
          <cell r="AA368">
            <v>1.5174000000000001</v>
          </cell>
          <cell r="AB368">
            <v>0.80630000000000002</v>
          </cell>
          <cell r="AF368" t="str">
            <v>M0876</v>
          </cell>
          <cell r="AG368" t="str">
            <v>Manta asfáltica de 4 mm</v>
          </cell>
          <cell r="AH368" t="str">
            <v>m²</v>
          </cell>
          <cell r="AI368">
            <v>41.448</v>
          </cell>
        </row>
        <row r="369">
          <cell r="G369" t="str">
            <v>Custo do FIC</v>
          </cell>
          <cell r="R369" t="str">
            <v>A9372</v>
          </cell>
          <cell r="S369" t="str">
            <v>Guindaste articulado montado sobre chassi com capacidade de 20 t.m</v>
          </cell>
          <cell r="T369">
            <v>94282</v>
          </cell>
          <cell r="U369">
            <v>6.5022000000000002</v>
          </cell>
          <cell r="V369">
            <v>0.87050000000000005</v>
          </cell>
          <cell r="W369">
            <v>0</v>
          </cell>
          <cell r="X369">
            <v>6.5022000000000002</v>
          </cell>
          <cell r="Y369">
            <v>0</v>
          </cell>
          <cell r="Z369">
            <v>21.640999999999998</v>
          </cell>
          <cell r="AA369">
            <v>35.515900000000002</v>
          </cell>
          <cell r="AB369">
            <v>29.0137</v>
          </cell>
          <cell r="AF369" t="str">
            <v>M0877</v>
          </cell>
          <cell r="AG369" t="str">
            <v>Pórtico metálico para vão de 26,0 m e vento de 45 m/s</v>
          </cell>
          <cell r="AH369" t="str">
            <v>un</v>
          </cell>
          <cell r="AI369">
            <v>65897.760500000004</v>
          </cell>
        </row>
        <row r="370">
          <cell r="G370" t="str">
            <v>Custo do FIT</v>
          </cell>
          <cell r="R370" t="str">
            <v>A9379</v>
          </cell>
          <cell r="S370" t="str">
            <v>Bate estaca hidráulico para defensas metálicas montada sobre chassi</v>
          </cell>
          <cell r="T370">
            <v>195585</v>
          </cell>
          <cell r="U370">
            <v>11.0832</v>
          </cell>
          <cell r="V370">
            <v>2.2589999999999999</v>
          </cell>
          <cell r="W370">
            <v>0</v>
          </cell>
          <cell r="X370">
            <v>10.4312</v>
          </cell>
          <cell r="Y370">
            <v>0</v>
          </cell>
          <cell r="Z370">
            <v>21.640999999999998</v>
          </cell>
          <cell r="AA370">
            <v>45.414400000000001</v>
          </cell>
          <cell r="AB370">
            <v>34.983199999999997</v>
          </cell>
          <cell r="AF370" t="str">
            <v>M0878</v>
          </cell>
          <cell r="AG370" t="str">
            <v>Pórtico metálico para vão de 27,1 m e vento de 45 m/s</v>
          </cell>
          <cell r="AH370" t="str">
            <v>un</v>
          </cell>
          <cell r="AI370">
            <v>71182.135899999994</v>
          </cell>
        </row>
        <row r="371">
          <cell r="C371" t="str">
            <v>Quantidade</v>
          </cell>
          <cell r="D371" t="str">
            <v>Unidade</v>
          </cell>
          <cell r="E371" t="str">
            <v>Preço Unitário</v>
          </cell>
          <cell r="G371" t="str">
            <v>Custo Unitário</v>
          </cell>
          <cell r="R371" t="str">
            <v>E9097</v>
          </cell>
          <cell r="S371" t="str">
            <v>Caminhão de resgate de veículos leves com plataforma com capacidade de 3,5 t - 115 kW</v>
          </cell>
          <cell r="T371">
            <v>0</v>
          </cell>
          <cell r="U371">
            <v>0</v>
          </cell>
          <cell r="V371">
            <v>0</v>
          </cell>
          <cell r="W371">
            <v>0</v>
          </cell>
          <cell r="X371">
            <v>0</v>
          </cell>
          <cell r="Y371">
            <v>0</v>
          </cell>
          <cell r="Z371">
            <v>0</v>
          </cell>
          <cell r="AA371">
            <v>128.22399999999999</v>
          </cell>
          <cell r="AB371">
            <v>43.367600000000003</v>
          </cell>
          <cell r="AF371" t="str">
            <v>M0879</v>
          </cell>
          <cell r="AG371" t="str">
            <v>Lixa para ferro</v>
          </cell>
          <cell r="AH371" t="str">
            <v>un</v>
          </cell>
          <cell r="AI371">
            <v>2.6309</v>
          </cell>
        </row>
        <row r="372">
          <cell r="C372" t="str">
            <v>Custo unitário total de material</v>
          </cell>
          <cell r="R372" t="str">
            <v>A9326</v>
          </cell>
          <cell r="S372" t="str">
            <v>Caminhão plataforma 4 x 2 PBT 9.600 kg e distância entre eixos 3,7 m - 115 kW - Motorista de veículo especial</v>
          </cell>
          <cell r="T372">
            <v>191746.09359999999</v>
          </cell>
          <cell r="U372">
            <v>8.2177000000000007</v>
          </cell>
          <cell r="V372">
            <v>1.7257</v>
          </cell>
          <cell r="W372">
            <v>1.3695999999999999</v>
          </cell>
          <cell r="X372">
            <v>12.326499999999999</v>
          </cell>
          <cell r="Y372">
            <v>69.963700000000003</v>
          </cell>
          <cell r="Z372">
            <v>29.414200000000001</v>
          </cell>
          <cell r="AA372">
            <v>123.01739999999999</v>
          </cell>
          <cell r="AB372">
            <v>40.727200000000003</v>
          </cell>
          <cell r="AF372" t="str">
            <v>M0880</v>
          </cell>
          <cell r="AG372" t="str">
            <v>Lixa para madeira e massa</v>
          </cell>
          <cell r="AH372" t="str">
            <v>un</v>
          </cell>
          <cell r="AI372">
            <v>1.1055999999999999</v>
          </cell>
        </row>
        <row r="373">
          <cell r="C373" t="str">
            <v>Quantidade</v>
          </cell>
          <cell r="D373" t="str">
            <v>Unidade</v>
          </cell>
          <cell r="E373" t="str">
            <v>Custo Unitário</v>
          </cell>
          <cell r="G373" t="str">
            <v>Custo Unitário</v>
          </cell>
          <cell r="R373" t="str">
            <v>A9374</v>
          </cell>
          <cell r="S373" t="str">
            <v>Plataforma hidráulica para resgate de veículos montada sobre chassi com capacidade de 3,5 t</v>
          </cell>
          <cell r="T373">
            <v>39919.4</v>
          </cell>
          <cell r="U373">
            <v>2.2810999999999999</v>
          </cell>
          <cell r="V373">
            <v>0.35930000000000001</v>
          </cell>
          <cell r="W373">
            <v>0</v>
          </cell>
          <cell r="X373">
            <v>2.5661999999999998</v>
          </cell>
          <cell r="Y373">
            <v>0</v>
          </cell>
          <cell r="Z373">
            <v>0</v>
          </cell>
          <cell r="AA373">
            <v>5.2065999999999999</v>
          </cell>
          <cell r="AB373">
            <v>2.6404000000000001</v>
          </cell>
          <cell r="AF373" t="str">
            <v>M0942</v>
          </cell>
          <cell r="AG373" t="str">
            <v>Estaca prancha metálica com chapa de 10 mm</v>
          </cell>
          <cell r="AH373" t="str">
            <v>kg</v>
          </cell>
          <cell r="AI373">
            <v>7.6292999999999997</v>
          </cell>
        </row>
        <row r="374">
          <cell r="C374">
            <v>1</v>
          </cell>
          <cell r="D374" t="str">
            <v>un</v>
          </cell>
          <cell r="F374">
            <v>9.9978422670469858</v>
          </cell>
          <cell r="I374">
            <v>9.9978422670469858</v>
          </cell>
          <cell r="R374" t="str">
            <v>E9098</v>
          </cell>
          <cell r="S374" t="str">
            <v>Caminhão de resgate de veículos de porte médio com capacidade do guincho de 20 t - 136 kW</v>
          </cell>
          <cell r="T374">
            <v>0</v>
          </cell>
          <cell r="U374">
            <v>0</v>
          </cell>
          <cell r="V374">
            <v>0</v>
          </cell>
          <cell r="W374">
            <v>0</v>
          </cell>
          <cell r="X374">
            <v>0</v>
          </cell>
          <cell r="Y374">
            <v>0</v>
          </cell>
          <cell r="Z374">
            <v>0</v>
          </cell>
          <cell r="AA374">
            <v>184.83090000000001</v>
          </cell>
          <cell r="AB374">
            <v>75.871399999999994</v>
          </cell>
          <cell r="AF374" t="str">
            <v>M0945</v>
          </cell>
          <cell r="AG374" t="str">
            <v>Parafuso cabeça sextavada - D = 1/4" com porca e arruela de pressão</v>
          </cell>
          <cell r="AH374" t="str">
            <v>cj</v>
          </cell>
          <cell r="AI374">
            <v>0.52029999999999998</v>
          </cell>
        </row>
        <row r="375">
          <cell r="C375" t="str">
            <v>Custo total de atividades auxiliares</v>
          </cell>
          <cell r="I375">
            <v>9.9978422670469858</v>
          </cell>
          <cell r="R375" t="str">
            <v>A9306</v>
          </cell>
          <cell r="S375" t="str">
            <v>Caminhão plataforma 4 x 2, PBT 17.100 kg e distância entre eixos 3,6 m - 136 kW - Motorista de veículo especial</v>
          </cell>
          <cell r="T375">
            <v>302548.35210000002</v>
          </cell>
          <cell r="U375">
            <v>12.9664</v>
          </cell>
          <cell r="V375">
            <v>2.7229000000000001</v>
          </cell>
          <cell r="W375">
            <v>2.1610999999999998</v>
          </cell>
          <cell r="X375">
            <v>19.4495</v>
          </cell>
          <cell r="Y375">
            <v>82.739699999999999</v>
          </cell>
          <cell r="Z375">
            <v>29.414200000000001</v>
          </cell>
          <cell r="AA375">
            <v>149.4538</v>
          </cell>
          <cell r="AB375">
            <v>47.264600000000002</v>
          </cell>
          <cell r="AF375" t="str">
            <v>M0947</v>
          </cell>
          <cell r="AG375" t="str">
            <v>Parafuso cabeça sextavada - D = 3/8" com porca e arruela de pressão</v>
          </cell>
          <cell r="AH375" t="str">
            <v>cj</v>
          </cell>
          <cell r="AI375">
            <v>1.3248</v>
          </cell>
        </row>
        <row r="376">
          <cell r="G376" t="str">
            <v>Subtotal</v>
          </cell>
          <cell r="R376" t="str">
            <v>A9375</v>
          </cell>
          <cell r="S376" t="str">
            <v>Guincho rebocador para resgate de veículos montada sobre chassi com capacidade de 20 t</v>
          </cell>
          <cell r="T376">
            <v>105315</v>
          </cell>
          <cell r="U376">
            <v>6.0179999999999998</v>
          </cell>
          <cell r="V376">
            <v>0.94779999999999998</v>
          </cell>
          <cell r="W376">
            <v>0</v>
          </cell>
          <cell r="X376">
            <v>6.7702999999999998</v>
          </cell>
          <cell r="Y376">
            <v>0</v>
          </cell>
          <cell r="Z376">
            <v>21.640999999999998</v>
          </cell>
          <cell r="AA376">
            <v>35.377099999999999</v>
          </cell>
          <cell r="AB376">
            <v>28.6068</v>
          </cell>
          <cell r="AF376" t="str">
            <v>M0998</v>
          </cell>
          <cell r="AG376" t="str">
            <v>Madeira estrutural de eucalipto</v>
          </cell>
          <cell r="AH376" t="str">
            <v>m³</v>
          </cell>
          <cell r="AI376">
            <v>595.5367</v>
          </cell>
        </row>
        <row r="377">
          <cell r="C377" t="str">
            <v>Código</v>
          </cell>
          <cell r="D377" t="str">
            <v>Quantidade</v>
          </cell>
          <cell r="E377" t="str">
            <v>Unidade</v>
          </cell>
          <cell r="F377" t="str">
            <v>Custo Unitário</v>
          </cell>
          <cell r="H377" t="str">
            <v>Custo Unitário</v>
          </cell>
          <cell r="R377" t="str">
            <v>E9099</v>
          </cell>
          <cell r="S377" t="str">
            <v>Caminhão de resgate de veículos pesados com dois guinchos com capacidade de 35 t - 240 kW</v>
          </cell>
          <cell r="T377">
            <v>0</v>
          </cell>
          <cell r="U377">
            <v>0</v>
          </cell>
          <cell r="V377">
            <v>0</v>
          </cell>
          <cell r="W377">
            <v>0</v>
          </cell>
          <cell r="X377">
            <v>0</v>
          </cell>
          <cell r="Y377">
            <v>0</v>
          </cell>
          <cell r="Z377">
            <v>0</v>
          </cell>
          <cell r="AA377">
            <v>291.9119</v>
          </cell>
          <cell r="AB377">
            <v>97.602800000000002</v>
          </cell>
          <cell r="AF377" t="str">
            <v>M0999</v>
          </cell>
          <cell r="AG377" t="str">
            <v>Tela de aço eletrosoldada</v>
          </cell>
          <cell r="AH377" t="str">
            <v>kg</v>
          </cell>
          <cell r="AI377">
            <v>4.6810999999999998</v>
          </cell>
        </row>
        <row r="378">
          <cell r="C378" t="str">
            <v>Custo unitário total de tempo fixo</v>
          </cell>
          <cell r="R378" t="str">
            <v>A9320</v>
          </cell>
          <cell r="S378" t="str">
            <v>Caminhão plataforma 6 x 2, PBT 23.000 kg e distância entre eixos 4,8 m - 240 kW - Motorista de veículo especial</v>
          </cell>
          <cell r="T378">
            <v>440370.71549999999</v>
          </cell>
          <cell r="U378">
            <v>18.873000000000001</v>
          </cell>
          <cell r="V378">
            <v>3.9632999999999998</v>
          </cell>
          <cell r="W378">
            <v>3.1455000000000002</v>
          </cell>
          <cell r="X378">
            <v>28.3095</v>
          </cell>
          <cell r="Y378">
            <v>146.0112</v>
          </cell>
          <cell r="Z378">
            <v>29.414200000000001</v>
          </cell>
          <cell r="AA378">
            <v>229.7167</v>
          </cell>
          <cell r="AB378">
            <v>55.396000000000001</v>
          </cell>
          <cell r="AF378" t="str">
            <v>M1000</v>
          </cell>
          <cell r="AG378" t="str">
            <v>Tela de alambrado fio 16 BWG e malha de 50 mm</v>
          </cell>
          <cell r="AH378" t="str">
            <v>m²</v>
          </cell>
          <cell r="AI378">
            <v>10.2454</v>
          </cell>
        </row>
        <row r="379">
          <cell r="C379" t="str">
            <v>Quantidade</v>
          </cell>
          <cell r="D379" t="str">
            <v>Unidade</v>
          </cell>
          <cell r="E379" t="str">
            <v>DMT</v>
          </cell>
          <cell r="I379" t="str">
            <v>Custo Unitário</v>
          </cell>
          <cell r="R379" t="str">
            <v>A9376</v>
          </cell>
          <cell r="S379" t="str">
            <v>Guincho rebocador para resgate de veículos montada sobre chassi com capacidade de 35 t</v>
          </cell>
          <cell r="T379">
            <v>310930</v>
          </cell>
          <cell r="U379">
            <v>17.767399999999999</v>
          </cell>
          <cell r="V379">
            <v>2.7984</v>
          </cell>
          <cell r="W379">
            <v>0</v>
          </cell>
          <cell r="X379">
            <v>19.988399999999999</v>
          </cell>
          <cell r="Y379">
            <v>0</v>
          </cell>
          <cell r="Z379">
            <v>21.640999999999998</v>
          </cell>
          <cell r="AA379">
            <v>62.1952</v>
          </cell>
          <cell r="AB379">
            <v>42.206800000000001</v>
          </cell>
          <cell r="AF379" t="str">
            <v>M1010</v>
          </cell>
          <cell r="AG379" t="str">
            <v>Manta de PVC de 1,2 mm reforçada com tela de poliéster</v>
          </cell>
          <cell r="AH379" t="str">
            <v>m²</v>
          </cell>
          <cell r="AI379">
            <v>95.319900000000004</v>
          </cell>
        </row>
        <row r="380">
          <cell r="E380" t="str">
            <v>LN</v>
          </cell>
          <cell r="F380" t="str">
            <v>RP</v>
          </cell>
          <cell r="G380" t="str">
            <v>P</v>
          </cell>
          <cell r="R380" t="str">
            <v>E9100</v>
          </cell>
          <cell r="S380" t="str">
            <v>Cavalo mecânico sem reboque - 210 kW</v>
          </cell>
          <cell r="T380">
            <v>0</v>
          </cell>
          <cell r="U380">
            <v>0</v>
          </cell>
          <cell r="V380">
            <v>0</v>
          </cell>
          <cell r="W380">
            <v>0</v>
          </cell>
          <cell r="X380">
            <v>0</v>
          </cell>
          <cell r="Y380">
            <v>0</v>
          </cell>
          <cell r="Z380">
            <v>0</v>
          </cell>
          <cell r="AA380">
            <v>157.00120000000001</v>
          </cell>
          <cell r="AB380">
            <v>43.031500000000001</v>
          </cell>
          <cell r="AF380" t="str">
            <v>M1011</v>
          </cell>
          <cell r="AG380" t="str">
            <v>Manta de PVC de 1,5 mm reforçada com tela de poliéster</v>
          </cell>
          <cell r="AH380" t="str">
            <v>m²</v>
          </cell>
          <cell r="AI380">
            <v>97.632599999999996</v>
          </cell>
        </row>
        <row r="381">
          <cell r="C381" t="str">
            <v>Custo unitário total de transporte</v>
          </cell>
          <cell r="R381" t="str">
            <v>A9310</v>
          </cell>
          <cell r="S381" t="str">
            <v>Cavalo mecânico 4 x 2, PBT 17.100 kg - 210 kW - Motorista de caminhão</v>
          </cell>
          <cell r="T381">
            <v>308481.10930000001</v>
          </cell>
          <cell r="U381">
            <v>13.220599999999999</v>
          </cell>
          <cell r="V381">
            <v>2.7763</v>
          </cell>
          <cell r="W381">
            <v>2.2033999999999998</v>
          </cell>
          <cell r="X381">
            <v>19.8309</v>
          </cell>
          <cell r="Y381">
            <v>94.138800000000003</v>
          </cell>
          <cell r="Z381">
            <v>24.831199999999999</v>
          </cell>
          <cell r="AA381">
            <v>157.00120000000001</v>
          </cell>
          <cell r="AB381">
            <v>43.031500000000001</v>
          </cell>
          <cell r="AF381" t="str">
            <v>M1022</v>
          </cell>
          <cell r="AG381" t="str">
            <v>Massa de vidraceiro</v>
          </cell>
          <cell r="AH381" t="str">
            <v>kg</v>
          </cell>
          <cell r="AI381">
            <v>1.9362999999999999</v>
          </cell>
        </row>
        <row r="382">
          <cell r="C382">
            <v>4915720</v>
          </cell>
          <cell r="D382" t="str">
            <v>un</v>
          </cell>
          <cell r="E382" t="str">
            <v>Custo unitário direto total</v>
          </cell>
          <cell r="I382">
            <v>20.351079304084024</v>
          </cell>
          <cell r="R382" t="str">
            <v>E9114</v>
          </cell>
          <cell r="S382" t="str">
            <v>Painel com seta luminosa para montagem em caminhão</v>
          </cell>
          <cell r="T382">
            <v>0</v>
          </cell>
          <cell r="U382">
            <v>0</v>
          </cell>
          <cell r="V382">
            <v>0</v>
          </cell>
          <cell r="W382">
            <v>0</v>
          </cell>
          <cell r="X382">
            <v>0</v>
          </cell>
          <cell r="Y382">
            <v>0</v>
          </cell>
          <cell r="Z382">
            <v>0</v>
          </cell>
          <cell r="AA382">
            <v>4.1249000000000002</v>
          </cell>
          <cell r="AB382">
            <v>2.7448999999999999</v>
          </cell>
          <cell r="AF382" t="str">
            <v>M1031</v>
          </cell>
          <cell r="AG382" t="str">
            <v>Membrana sintética moldada no Local</v>
          </cell>
          <cell r="AH382" t="str">
            <v>kg</v>
          </cell>
          <cell r="AI382">
            <v>13.9678</v>
          </cell>
        </row>
        <row r="383">
          <cell r="R383" t="str">
            <v>A9380</v>
          </cell>
          <cell r="S383" t="str">
            <v>Painel com seta luminosa montado sobre chassi</v>
          </cell>
          <cell r="T383">
            <v>27600.8711</v>
          </cell>
          <cell r="U383">
            <v>2.4841000000000002</v>
          </cell>
          <cell r="V383">
            <v>0.26079999999999998</v>
          </cell>
          <cell r="W383">
            <v>0</v>
          </cell>
          <cell r="X383">
            <v>1.38</v>
          </cell>
          <cell r="Y383">
            <v>0</v>
          </cell>
          <cell r="Z383">
            <v>0</v>
          </cell>
          <cell r="AA383">
            <v>4.1249000000000002</v>
          </cell>
          <cell r="AB383">
            <v>2.7448999999999999</v>
          </cell>
          <cell r="AF383" t="str">
            <v>M1040</v>
          </cell>
          <cell r="AG383" t="str">
            <v>Mourão de concreto curvo de 12 x 12 x 320 cm</v>
          </cell>
          <cell r="AH383" t="str">
            <v>un</v>
          </cell>
          <cell r="AI383">
            <v>76.723600000000005</v>
          </cell>
        </row>
        <row r="384">
          <cell r="R384" t="str">
            <v>E9115</v>
          </cell>
          <cell r="S384" t="str">
            <v>Amortecedor retrátil (AMC) para montagem em caminhão</v>
          </cell>
          <cell r="T384">
            <v>0</v>
          </cell>
          <cell r="U384">
            <v>0</v>
          </cell>
          <cell r="V384">
            <v>0</v>
          </cell>
          <cell r="W384">
            <v>0</v>
          </cell>
          <cell r="X384">
            <v>0</v>
          </cell>
          <cell r="Y384">
            <v>0</v>
          </cell>
          <cell r="Z384">
            <v>0</v>
          </cell>
          <cell r="AA384">
            <v>31.2346</v>
          </cell>
          <cell r="AB384">
            <v>16.3963</v>
          </cell>
          <cell r="AF384" t="str">
            <v>M1041</v>
          </cell>
          <cell r="AG384" t="str">
            <v>Mourão de concreto - H = 2,2 m e seção 15 x 15 cm</v>
          </cell>
          <cell r="AH384" t="str">
            <v>un</v>
          </cell>
          <cell r="AI384">
            <v>66.278199999999998</v>
          </cell>
        </row>
        <row r="385">
          <cell r="I385" t="str">
            <v>DNIT</v>
          </cell>
          <cell r="R385" t="str">
            <v>A9381</v>
          </cell>
          <cell r="S385" t="str">
            <v>Amortecedor retrátil montado em caminhão</v>
          </cell>
          <cell r="T385">
            <v>164869.45379999999</v>
          </cell>
          <cell r="U385">
            <v>14.8383</v>
          </cell>
          <cell r="V385">
            <v>1.5580000000000001</v>
          </cell>
          <cell r="W385">
            <v>0</v>
          </cell>
          <cell r="X385">
            <v>14.8383</v>
          </cell>
          <cell r="Y385">
            <v>0</v>
          </cell>
          <cell r="Z385">
            <v>0</v>
          </cell>
          <cell r="AA385">
            <v>31.2346</v>
          </cell>
          <cell r="AB385">
            <v>16.3963</v>
          </cell>
          <cell r="AF385" t="str">
            <v>M1042</v>
          </cell>
          <cell r="AG385" t="str">
            <v>Mourão de concreto - H = 2,1 m e seção 11 x 11 cm</v>
          </cell>
          <cell r="AH385" t="str">
            <v>un</v>
          </cell>
          <cell r="AI385">
            <v>33.027999999999999</v>
          </cell>
        </row>
        <row r="386">
          <cell r="R386" t="str">
            <v>E9145</v>
          </cell>
          <cell r="S386" t="str">
            <v>Caminhão basculante para concreto com capacidade de 7 m³ - 188 kW</v>
          </cell>
          <cell r="T386">
            <v>0</v>
          </cell>
          <cell r="U386">
            <v>0</v>
          </cell>
          <cell r="V386">
            <v>0</v>
          </cell>
          <cell r="W386">
            <v>0</v>
          </cell>
          <cell r="X386">
            <v>0</v>
          </cell>
          <cell r="Y386">
            <v>0</v>
          </cell>
          <cell r="Z386">
            <v>0</v>
          </cell>
          <cell r="AA386">
            <v>155.12119999999999</v>
          </cell>
          <cell r="AB386">
            <v>46.959499999999998</v>
          </cell>
          <cell r="AF386" t="str">
            <v>M1066</v>
          </cell>
          <cell r="AG386" t="str">
            <v>Cera para injeção de ancoragens de estais</v>
          </cell>
          <cell r="AH386" t="str">
            <v>kg</v>
          </cell>
          <cell r="AI386">
            <v>11.1836</v>
          </cell>
        </row>
        <row r="387">
          <cell r="D387" t="str">
            <v>Outubro/2019</v>
          </cell>
          <cell r="G387" t="str">
            <v>Produção da equipe</v>
          </cell>
          <cell r="H387">
            <v>5.6</v>
          </cell>
          <cell r="I387" t="str">
            <v>m²</v>
          </cell>
          <cell r="R387" t="str">
            <v>A9316</v>
          </cell>
          <cell r="S387" t="str">
            <v>Caminhão plataforma 8 x 2, PBT 29.000 kg e distância entre eixos 4,8 m - 188 kW - Motorista de caminhão</v>
          </cell>
          <cell r="T387">
            <v>331936.23680000001</v>
          </cell>
          <cell r="U387">
            <v>14.2258</v>
          </cell>
          <cell r="V387">
            <v>2.9874000000000001</v>
          </cell>
          <cell r="W387">
            <v>2.371</v>
          </cell>
          <cell r="X387">
            <v>21.338799999999999</v>
          </cell>
          <cell r="Y387">
            <v>84.276600000000002</v>
          </cell>
          <cell r="Z387">
            <v>24.831199999999999</v>
          </cell>
          <cell r="AA387">
            <v>150.0308</v>
          </cell>
          <cell r="AB387">
            <v>44.415399999999998</v>
          </cell>
          <cell r="AF387" t="str">
            <v>M1078</v>
          </cell>
          <cell r="AG387" t="str">
            <v>Parafuso de 1/2 x 5"</v>
          </cell>
          <cell r="AH387" t="str">
            <v>un</v>
          </cell>
          <cell r="AI387">
            <v>3.0977000000000001</v>
          </cell>
        </row>
        <row r="388">
          <cell r="H388" t="str">
            <v>Valores em reais (R$)</v>
          </cell>
          <cell r="R388" t="str">
            <v>A9340</v>
          </cell>
          <cell r="S388" t="str">
            <v>Caçamba basculante para concreto com capacidade de 7 m³</v>
          </cell>
          <cell r="T388">
            <v>29989.7</v>
          </cell>
          <cell r="U388">
            <v>2.2633999999999999</v>
          </cell>
          <cell r="V388">
            <v>0.28070000000000001</v>
          </cell>
          <cell r="W388">
            <v>0</v>
          </cell>
          <cell r="X388">
            <v>2.5463</v>
          </cell>
          <cell r="Y388">
            <v>0</v>
          </cell>
          <cell r="Z388">
            <v>0</v>
          </cell>
          <cell r="AA388">
            <v>5.0903999999999998</v>
          </cell>
          <cell r="AB388">
            <v>2.5440999999999998</v>
          </cell>
          <cell r="AF388" t="str">
            <v>M1079</v>
          </cell>
          <cell r="AG388" t="str">
            <v>Parafuso autoatarrachante com arruelas de vedação - D = 6,3 mm</v>
          </cell>
          <cell r="AH388" t="str">
            <v>un</v>
          </cell>
          <cell r="AI388">
            <v>0.35139999999999999</v>
          </cell>
        </row>
        <row r="389">
          <cell r="C389" t="str">
            <v>Quantidade</v>
          </cell>
          <cell r="D389" t="str">
            <v>Utilização</v>
          </cell>
          <cell r="F389" t="str">
            <v>Custo Horário</v>
          </cell>
          <cell r="I389" t="str">
            <v>Custo</v>
          </cell>
          <cell r="R389" t="str">
            <v>E9146</v>
          </cell>
          <cell r="S389" t="str">
            <v>Caminhão silo com capacidade de 30 m³ - 265 kW</v>
          </cell>
          <cell r="T389">
            <v>0</v>
          </cell>
          <cell r="U389">
            <v>0</v>
          </cell>
          <cell r="V389">
            <v>0</v>
          </cell>
          <cell r="W389">
            <v>0</v>
          </cell>
          <cell r="X389">
            <v>0</v>
          </cell>
          <cell r="Y389">
            <v>0</v>
          </cell>
          <cell r="Z389">
            <v>0</v>
          </cell>
          <cell r="AA389">
            <v>261.5453</v>
          </cell>
          <cell r="AB389">
            <v>62.011800000000001</v>
          </cell>
          <cell r="AF389" t="str">
            <v>M1082</v>
          </cell>
          <cell r="AG389" t="str">
            <v>Parafuso de 8 x 110 mm</v>
          </cell>
          <cell r="AH389" t="str">
            <v>un</v>
          </cell>
          <cell r="AI389">
            <v>1.0159</v>
          </cell>
        </row>
        <row r="390">
          <cell r="D390" t="str">
            <v>Operativa</v>
          </cell>
          <cell r="E390" t="str">
            <v>Improdutiva</v>
          </cell>
          <cell r="F390" t="str">
            <v>Produtivo</v>
          </cell>
          <cell r="G390" t="str">
            <v>Improdutivo</v>
          </cell>
          <cell r="I390" t="str">
            <v>Horário Total</v>
          </cell>
          <cell r="R390" t="str">
            <v>A9335</v>
          </cell>
          <cell r="S390" t="str">
            <v>Cavalo mecânico estradeiro 6 x 2, PBT 23.000 kg - 265 kW - Motorista de caminhão</v>
          </cell>
          <cell r="T390">
            <v>450714.63669999997</v>
          </cell>
          <cell r="U390">
            <v>19.316299999999998</v>
          </cell>
          <cell r="V390">
            <v>4.0564</v>
          </cell>
          <cell r="W390">
            <v>3.2193999999999998</v>
          </cell>
          <cell r="X390">
            <v>28.974499999999999</v>
          </cell>
          <cell r="Y390">
            <v>161.22069999999999</v>
          </cell>
          <cell r="Z390">
            <v>24.831199999999999</v>
          </cell>
          <cell r="AA390">
            <v>241.61850000000001</v>
          </cell>
          <cell r="AB390">
            <v>51.423299999999998</v>
          </cell>
          <cell r="AF390" t="str">
            <v>M1097</v>
          </cell>
          <cell r="AG390" t="str">
            <v>Pedra de mão</v>
          </cell>
          <cell r="AH390" t="str">
            <v>m³</v>
          </cell>
          <cell r="AI390">
            <v>58.550899999999999</v>
          </cell>
        </row>
        <row r="391">
          <cell r="C391">
            <v>1</v>
          </cell>
          <cell r="D391">
            <v>0.5</v>
          </cell>
          <cell r="E391">
            <v>0.5</v>
          </cell>
          <cell r="F391">
            <v>87.298900000000003</v>
          </cell>
          <cell r="G391">
            <v>37.209699999999998</v>
          </cell>
          <cell r="I391">
            <v>62.254300000000001</v>
          </cell>
          <cell r="R391" t="str">
            <v>A9357</v>
          </cell>
          <cell r="S391" t="str">
            <v>Semirreboque silo para cimento com capacidade de 30 m³</v>
          </cell>
          <cell r="T391">
            <v>135405</v>
          </cell>
          <cell r="U391">
            <v>9.3383000000000003</v>
          </cell>
          <cell r="V391">
            <v>1.2502</v>
          </cell>
          <cell r="W391">
            <v>0</v>
          </cell>
          <cell r="X391">
            <v>9.3383000000000003</v>
          </cell>
          <cell r="Y391">
            <v>0</v>
          </cell>
          <cell r="Z391">
            <v>0</v>
          </cell>
          <cell r="AA391">
            <v>19.9268</v>
          </cell>
          <cell r="AB391">
            <v>10.5885</v>
          </cell>
          <cell r="AF391" t="str">
            <v>M1103</v>
          </cell>
          <cell r="AG391" t="str">
            <v>Pedrisco</v>
          </cell>
          <cell r="AH391" t="str">
            <v>m³</v>
          </cell>
          <cell r="AI391">
            <v>64.188100000000006</v>
          </cell>
        </row>
        <row r="392">
          <cell r="G392" t="str">
            <v>Custo horário total de equipamentos</v>
          </cell>
          <cell r="I392">
            <v>62.254300000000001</v>
          </cell>
          <cell r="R392" t="str">
            <v>E9201</v>
          </cell>
          <cell r="S392" t="str">
            <v>Caminhão basculante para rocha com capacidade de 12 m³ - 188 kW com periculosidade</v>
          </cell>
          <cell r="T392">
            <v>0</v>
          </cell>
          <cell r="U392">
            <v>0</v>
          </cell>
          <cell r="V392">
            <v>0</v>
          </cell>
          <cell r="W392">
            <v>0</v>
          </cell>
          <cell r="X392">
            <v>0</v>
          </cell>
          <cell r="Y392">
            <v>0</v>
          </cell>
          <cell r="Z392">
            <v>0</v>
          </cell>
          <cell r="AA392">
            <v>175.7533</v>
          </cell>
          <cell r="AB392">
            <v>63.154699999999998</v>
          </cell>
          <cell r="AF392" t="str">
            <v>M1110</v>
          </cell>
          <cell r="AG392" t="str">
            <v>Cupinicida</v>
          </cell>
          <cell r="AH392" t="str">
            <v>l</v>
          </cell>
          <cell r="AI392">
            <v>16.945799999999998</v>
          </cell>
        </row>
        <row r="393">
          <cell r="C393" t="str">
            <v>Quantidade</v>
          </cell>
          <cell r="D393" t="str">
            <v>Unidade</v>
          </cell>
          <cell r="E393" t="str">
            <v>Custo Horário</v>
          </cell>
          <cell r="G393" t="str">
            <v>Custo Horário Total</v>
          </cell>
          <cell r="R393" t="str">
            <v>A9327</v>
          </cell>
          <cell r="S393" t="str">
            <v>Caminhão plataforma 8 x 2 PBT 29.000 kg e distância entre eixos 4,8 m - 188 kW - Motorista de veículo especial com periculosidade</v>
          </cell>
          <cell r="T393">
            <v>331936.23680000001</v>
          </cell>
          <cell r="U393">
            <v>14.2258</v>
          </cell>
          <cell r="V393">
            <v>2.9874000000000001</v>
          </cell>
          <cell r="W393">
            <v>2.371</v>
          </cell>
          <cell r="X393">
            <v>21.338799999999999</v>
          </cell>
          <cell r="Y393">
            <v>84.276600000000002</v>
          </cell>
          <cell r="Z393">
            <v>36.593400000000003</v>
          </cell>
          <cell r="AA393">
            <v>161.79300000000001</v>
          </cell>
          <cell r="AB393">
            <v>56.177599999999998</v>
          </cell>
          <cell r="AF393" t="str">
            <v>M1118</v>
          </cell>
          <cell r="AG393" t="str">
            <v>Cruzeta de madeira para transformador em poste de 240 cm</v>
          </cell>
          <cell r="AH393" t="str">
            <v>un</v>
          </cell>
          <cell r="AI393">
            <v>124.92319999999999</v>
          </cell>
        </row>
        <row r="394">
          <cell r="C394">
            <v>4</v>
          </cell>
          <cell r="D394" t="str">
            <v>h</v>
          </cell>
          <cell r="F394">
            <v>19.378599999999999</v>
          </cell>
          <cell r="I394">
            <v>77.514399999999995</v>
          </cell>
          <cell r="R394" t="str">
            <v>A9343</v>
          </cell>
          <cell r="S394" t="str">
            <v>Caçamba basculante para rocha com capacidade de 12 m³</v>
          </cell>
          <cell r="T394">
            <v>82246</v>
          </cell>
          <cell r="U394">
            <v>6.2072000000000003</v>
          </cell>
          <cell r="V394">
            <v>0.76990000000000003</v>
          </cell>
          <cell r="W394">
            <v>0</v>
          </cell>
          <cell r="X394">
            <v>6.9832000000000001</v>
          </cell>
          <cell r="Y394">
            <v>0</v>
          </cell>
          <cell r="Z394">
            <v>0</v>
          </cell>
          <cell r="AA394">
            <v>13.9603</v>
          </cell>
          <cell r="AB394">
            <v>6.9771000000000001</v>
          </cell>
          <cell r="AF394" t="str">
            <v>M1130</v>
          </cell>
          <cell r="AG394" t="str">
            <v>Selante elástico à base de poliuretano, tipo PU Flex Construção ou similar</v>
          </cell>
          <cell r="AH394" t="str">
            <v>kg</v>
          </cell>
          <cell r="AI394">
            <v>66.262</v>
          </cell>
        </row>
        <row r="395">
          <cell r="C395" t="str">
            <v>Custo horário total de mão de obra</v>
          </cell>
          <cell r="H395">
            <v>77.514399999999995</v>
          </cell>
          <cell r="R395" t="str">
            <v>E9202</v>
          </cell>
          <cell r="S395" t="str">
            <v>Plataforma pantográfica montada em caminhão - 115 kW com periculosidade</v>
          </cell>
          <cell r="T395">
            <v>0</v>
          </cell>
          <cell r="U395">
            <v>0</v>
          </cell>
          <cell r="V395">
            <v>0</v>
          </cell>
          <cell r="W395">
            <v>0</v>
          </cell>
          <cell r="X395">
            <v>0</v>
          </cell>
          <cell r="Y395">
            <v>0</v>
          </cell>
          <cell r="Z395">
            <v>0</v>
          </cell>
          <cell r="AA395">
            <v>212.6738</v>
          </cell>
          <cell r="AB395">
            <v>103.9868</v>
          </cell>
          <cell r="AF395" t="str">
            <v>M1131</v>
          </cell>
          <cell r="AG395" t="str">
            <v>Cordão de polietileno expandido</v>
          </cell>
          <cell r="AH395" t="str">
            <v>m</v>
          </cell>
          <cell r="AI395">
            <v>0.12239999999999999</v>
          </cell>
        </row>
        <row r="396">
          <cell r="C396" t="str">
            <v>Custo horário total de execução</v>
          </cell>
          <cell r="I396">
            <v>139.7687</v>
          </cell>
          <cell r="R396" t="str">
            <v>A9300</v>
          </cell>
          <cell r="S396" t="str">
            <v>Caminhão plataforma 4 x 2, PBT 8.300 kg e distância entre eixos 3,7 m - 115 kW - Motorista de veículo especial com periculosidade</v>
          </cell>
          <cell r="T396">
            <v>220108.67910000001</v>
          </cell>
          <cell r="U396">
            <v>9.4331999999999994</v>
          </cell>
          <cell r="V396">
            <v>1.9810000000000001</v>
          </cell>
          <cell r="W396">
            <v>1.5722</v>
          </cell>
          <cell r="X396">
            <v>14.149800000000001</v>
          </cell>
          <cell r="Y396">
            <v>69.963700000000003</v>
          </cell>
          <cell r="Z396">
            <v>36.593400000000003</v>
          </cell>
          <cell r="AA396">
            <v>133.69329999999999</v>
          </cell>
          <cell r="AB396">
            <v>49.579799999999999</v>
          </cell>
          <cell r="AF396" t="str">
            <v>M1132</v>
          </cell>
          <cell r="AG396" t="str">
            <v>Junta em perfil extrudado de borracha vulcanizada de 20 x 40 mm</v>
          </cell>
          <cell r="AH396" t="str">
            <v>m</v>
          </cell>
          <cell r="AI396">
            <v>267.33999999999997</v>
          </cell>
        </row>
        <row r="397">
          <cell r="C397" t="str">
            <v>Custo unitário de execução</v>
          </cell>
          <cell r="I397">
            <v>24.958696428571429</v>
          </cell>
          <cell r="R397" t="str">
            <v>A9383</v>
          </cell>
          <cell r="S397" t="str">
            <v>Plataforma pantográfica hidráulica montada sobre chassi com capacidade de 600 kg - com periculosidade</v>
          </cell>
          <cell r="T397">
            <v>368602.5</v>
          </cell>
          <cell r="U397">
            <v>24.573499999999999</v>
          </cell>
          <cell r="V397">
            <v>3.3864999999999998</v>
          </cell>
          <cell r="W397">
            <v>0</v>
          </cell>
          <cell r="X397">
            <v>24.573499999999999</v>
          </cell>
          <cell r="Y397">
            <v>0</v>
          </cell>
          <cell r="Z397">
            <v>26.446999999999999</v>
          </cell>
          <cell r="AA397">
            <v>78.980500000000006</v>
          </cell>
          <cell r="AB397">
            <v>54.406999999999996</v>
          </cell>
          <cell r="AF397" t="str">
            <v>M1134</v>
          </cell>
          <cell r="AG397" t="str">
            <v>Junta em perfil extrudado de borracha vulcanizada de 25 x 50 mm</v>
          </cell>
          <cell r="AH397" t="str">
            <v>m</v>
          </cell>
          <cell r="AI397">
            <v>340.17039999999997</v>
          </cell>
        </row>
        <row r="398">
          <cell r="G398" t="str">
            <v>Custo do FIC</v>
          </cell>
          <cell r="R398" t="str">
            <v>E9506</v>
          </cell>
          <cell r="S398" t="str">
            <v>Caminhão basculante com capacidade de 6 m³ - 136 kW</v>
          </cell>
          <cell r="T398">
            <v>0</v>
          </cell>
          <cell r="U398">
            <v>0</v>
          </cell>
          <cell r="V398">
            <v>0</v>
          </cell>
          <cell r="W398">
            <v>0</v>
          </cell>
          <cell r="X398">
            <v>0</v>
          </cell>
          <cell r="Y398">
            <v>0</v>
          </cell>
          <cell r="Z398">
            <v>0</v>
          </cell>
          <cell r="AA398">
            <v>110.8862</v>
          </cell>
          <cell r="AB398">
            <v>45.284399999999998</v>
          </cell>
          <cell r="AF398" t="str">
            <v>M1135</v>
          </cell>
          <cell r="AG398" t="str">
            <v>Pó de pedra</v>
          </cell>
          <cell r="AH398" t="str">
            <v>m³</v>
          </cell>
          <cell r="AI398">
            <v>58.042499999999997</v>
          </cell>
        </row>
        <row r="399">
          <cell r="G399" t="str">
            <v>Custo do FIT</v>
          </cell>
          <cell r="R399" t="str">
            <v>A9307</v>
          </cell>
          <cell r="S399" t="str">
            <v>Caminhão plataforma 4 x 2, PBT 17.100 kg e distância entre eixos 3,6 m - 136 kW - Motorista de caminhão</v>
          </cell>
          <cell r="T399">
            <v>302548.35210000002</v>
          </cell>
          <cell r="U399">
            <v>12.9664</v>
          </cell>
          <cell r="V399">
            <v>2.7229000000000001</v>
          </cell>
          <cell r="W399">
            <v>2.1610999999999998</v>
          </cell>
          <cell r="X399">
            <v>19.4495</v>
          </cell>
          <cell r="Y399">
            <v>43.547199999999997</v>
          </cell>
          <cell r="Z399">
            <v>24.831199999999999</v>
          </cell>
          <cell r="AA399">
            <v>105.67829999999999</v>
          </cell>
          <cell r="AB399">
            <v>42.681600000000003</v>
          </cell>
          <cell r="AF399" t="str">
            <v>M1142</v>
          </cell>
          <cell r="AG399" t="str">
            <v>Junta em perfil extrudado de borracha vulcanizada de 35 x 60 mm</v>
          </cell>
          <cell r="AH399" t="str">
            <v>m</v>
          </cell>
          <cell r="AI399">
            <v>627.41150000000005</v>
          </cell>
        </row>
        <row r="400">
          <cell r="C400" t="str">
            <v>Quantidade</v>
          </cell>
          <cell r="D400" t="str">
            <v>Unidade</v>
          </cell>
          <cell r="E400" t="str">
            <v>Preço Unitário</v>
          </cell>
          <cell r="G400" t="str">
            <v>Custo Unitário</v>
          </cell>
          <cell r="R400" t="str">
            <v>A9338</v>
          </cell>
          <cell r="S400" t="str">
            <v>Caçamba basculante com capacidade de 6 m³</v>
          </cell>
          <cell r="T400">
            <v>30681.77</v>
          </cell>
          <cell r="U400">
            <v>2.3155999999999999</v>
          </cell>
          <cell r="V400">
            <v>0.28720000000000001</v>
          </cell>
          <cell r="W400">
            <v>0</v>
          </cell>
          <cell r="X400">
            <v>2.6051000000000002</v>
          </cell>
          <cell r="Y400">
            <v>0</v>
          </cell>
          <cell r="Z400">
            <v>0</v>
          </cell>
          <cell r="AA400">
            <v>5.2079000000000004</v>
          </cell>
          <cell r="AB400">
            <v>2.6027999999999998</v>
          </cell>
          <cell r="AF400" t="str">
            <v>M1150</v>
          </cell>
          <cell r="AG400" t="str">
            <v>Adesivo ADE 52 ou similar</v>
          </cell>
          <cell r="AH400" t="str">
            <v>kg</v>
          </cell>
          <cell r="AI400">
            <v>91.686899999999994</v>
          </cell>
        </row>
        <row r="401">
          <cell r="C401" t="str">
            <v>Custo unitário total de material</v>
          </cell>
          <cell r="R401" t="str">
            <v>E9508</v>
          </cell>
          <cell r="S401" t="str">
            <v>Caminhão carroceria com capacidade de 9 t - 136 kW</v>
          </cell>
          <cell r="T401">
            <v>0</v>
          </cell>
          <cell r="U401">
            <v>0</v>
          </cell>
          <cell r="V401">
            <v>0</v>
          </cell>
          <cell r="W401">
            <v>0</v>
          </cell>
          <cell r="X401">
            <v>0</v>
          </cell>
          <cell r="Y401">
            <v>0</v>
          </cell>
          <cell r="Z401">
            <v>0</v>
          </cell>
          <cell r="AA401">
            <v>108.3399</v>
          </cell>
          <cell r="AB401">
            <v>44.094200000000001</v>
          </cell>
          <cell r="AF401" t="str">
            <v>M1151</v>
          </cell>
          <cell r="AG401" t="str">
            <v>Junta em perfil extrudado de borracha vulcanizada de 40 x 70 mm</v>
          </cell>
          <cell r="AH401" t="str">
            <v>m</v>
          </cell>
          <cell r="AI401">
            <v>907.35509999999999</v>
          </cell>
        </row>
        <row r="402">
          <cell r="C402" t="str">
            <v>Quantidade</v>
          </cell>
          <cell r="D402" t="str">
            <v>Unidade</v>
          </cell>
          <cell r="E402" t="str">
            <v>Custo Unitário</v>
          </cell>
          <cell r="G402" t="str">
            <v>Custo Unitário</v>
          </cell>
          <cell r="R402" t="str">
            <v>A9309</v>
          </cell>
          <cell r="S402" t="str">
            <v>Caminhão plataforma 4 x 2, PBT 17.100 kg e distância entre eixos 4,8 m - 136 kW - Motorista de caminhão</v>
          </cell>
          <cell r="T402">
            <v>302801.03139999998</v>
          </cell>
          <cell r="U402">
            <v>12.9772</v>
          </cell>
          <cell r="V402">
            <v>2.7252000000000001</v>
          </cell>
          <cell r="W402">
            <v>2.1629</v>
          </cell>
          <cell r="X402">
            <v>19.465800000000002</v>
          </cell>
          <cell r="Y402">
            <v>43.547199999999997</v>
          </cell>
          <cell r="Z402">
            <v>24.831199999999999</v>
          </cell>
          <cell r="AA402">
            <v>105.70950000000001</v>
          </cell>
          <cell r="AB402">
            <v>42.6965</v>
          </cell>
          <cell r="AF402" t="str">
            <v>M1152</v>
          </cell>
          <cell r="AG402" t="str">
            <v>Junta em perfil extrudado de borracha vulcanizada de 50 x 80 mm</v>
          </cell>
          <cell r="AH402" t="str">
            <v>m</v>
          </cell>
          <cell r="AI402">
            <v>1082.3684000000001</v>
          </cell>
        </row>
        <row r="403">
          <cell r="C403" t="str">
            <v>Custo total de atividades auxiliares</v>
          </cell>
          <cell r="R403" t="str">
            <v>A9350</v>
          </cell>
          <cell r="S403" t="str">
            <v>Carroceria de madeira com capacidade de 9 t</v>
          </cell>
          <cell r="T403">
            <v>17873.46</v>
          </cell>
          <cell r="U403">
            <v>1.2326999999999999</v>
          </cell>
          <cell r="V403">
            <v>0.16500000000000001</v>
          </cell>
          <cell r="W403">
            <v>0</v>
          </cell>
          <cell r="X403">
            <v>1.2326999999999999</v>
          </cell>
          <cell r="Y403">
            <v>0</v>
          </cell>
          <cell r="Z403">
            <v>0</v>
          </cell>
          <cell r="AA403">
            <v>2.6303999999999998</v>
          </cell>
          <cell r="AB403">
            <v>1.3976999999999999</v>
          </cell>
          <cell r="AF403" t="str">
            <v>M1176</v>
          </cell>
          <cell r="AG403" t="str">
            <v>Arame liso galvanizado 16 BWG</v>
          </cell>
          <cell r="AH403" t="str">
            <v>kg</v>
          </cell>
          <cell r="AI403">
            <v>7.7544000000000004</v>
          </cell>
        </row>
        <row r="404">
          <cell r="G404" t="str">
            <v>Subtotal</v>
          </cell>
          <cell r="R404" t="str">
            <v>E9509</v>
          </cell>
          <cell r="S404" t="str">
            <v>Caminhão tanque distribuidor de asfalto com capacidade de 6.000 l - 7 kW/136 kW</v>
          </cell>
          <cell r="T404">
            <v>0</v>
          </cell>
          <cell r="U404">
            <v>0</v>
          </cell>
          <cell r="V404">
            <v>0</v>
          </cell>
          <cell r="W404">
            <v>0</v>
          </cell>
          <cell r="X404">
            <v>0</v>
          </cell>
          <cell r="Y404">
            <v>0</v>
          </cell>
          <cell r="Z404">
            <v>0</v>
          </cell>
          <cell r="AA404">
            <v>159.1455</v>
          </cell>
          <cell r="AB404">
            <v>48.138199999999998</v>
          </cell>
          <cell r="AF404" t="str">
            <v>M1200</v>
          </cell>
          <cell r="AG404" t="str">
            <v>Pórtico metálico para vão de 9,2 m e vento de 35 m/s</v>
          </cell>
          <cell r="AH404" t="str">
            <v>un</v>
          </cell>
          <cell r="AI404">
            <v>25764.736400000002</v>
          </cell>
        </row>
        <row r="405">
          <cell r="C405" t="str">
            <v>Código</v>
          </cell>
          <cell r="D405" t="str">
            <v>Quantidade</v>
          </cell>
          <cell r="E405" t="str">
            <v>Unidade</v>
          </cell>
          <cell r="F405" t="str">
            <v>Custo Unitário</v>
          </cell>
          <cell r="H405" t="str">
            <v>Custo Unitário</v>
          </cell>
          <cell r="R405" t="str">
            <v>A9323</v>
          </cell>
          <cell r="S405" t="str">
            <v>Caminhão plataforma 4 x 2, PBT 14.300 kg e distância entre eixos 4,8 m - 136 kW - Motorista de caminhão</v>
          </cell>
          <cell r="T405">
            <v>281365.40749999997</v>
          </cell>
          <cell r="U405">
            <v>12.0585</v>
          </cell>
          <cell r="V405">
            <v>2.5323000000000002</v>
          </cell>
          <cell r="W405">
            <v>2.0097999999999998</v>
          </cell>
          <cell r="X405">
            <v>18.087800000000001</v>
          </cell>
          <cell r="Y405">
            <v>82.739699999999999</v>
          </cell>
          <cell r="Z405">
            <v>24.831199999999999</v>
          </cell>
          <cell r="AA405">
            <v>142.2593</v>
          </cell>
          <cell r="AB405">
            <v>41.431800000000003</v>
          </cell>
          <cell r="AF405" t="str">
            <v>M1201</v>
          </cell>
          <cell r="AG405" t="str">
            <v>Pórtico metálico para vão de 10,3 m e vento de 35 m/s</v>
          </cell>
          <cell r="AH405" t="str">
            <v>un</v>
          </cell>
          <cell r="AI405">
            <v>34361.949399999998</v>
          </cell>
        </row>
        <row r="406">
          <cell r="C406" t="str">
            <v>Custo unitário total de tempo fixo</v>
          </cell>
          <cell r="R406" t="str">
            <v>A9363</v>
          </cell>
          <cell r="S406" t="str">
            <v>Tanque espargidor de asfalto com capacidade de 6.000 l - 7 kW</v>
          </cell>
          <cell r="T406">
            <v>142426</v>
          </cell>
          <cell r="U406">
            <v>5.6970000000000001</v>
          </cell>
          <cell r="V406">
            <v>1.0094000000000001</v>
          </cell>
          <cell r="W406">
            <v>0</v>
          </cell>
          <cell r="X406">
            <v>5.6970000000000001</v>
          </cell>
          <cell r="Y406">
            <v>4.4828000000000001</v>
          </cell>
          <cell r="Z406">
            <v>0</v>
          </cell>
          <cell r="AA406">
            <v>16.886199999999999</v>
          </cell>
          <cell r="AB406">
            <v>6.7064000000000004</v>
          </cell>
          <cell r="AF406" t="str">
            <v>M1202</v>
          </cell>
          <cell r="AG406" t="str">
            <v>Pórtico metálico para vão de 11,4 m e vento de 35 m/s</v>
          </cell>
          <cell r="AH406" t="str">
            <v>un</v>
          </cell>
          <cell r="AI406">
            <v>35043.950700000001</v>
          </cell>
        </row>
        <row r="407">
          <cell r="C407" t="str">
            <v>Quantidade</v>
          </cell>
          <cell r="D407" t="str">
            <v>Unidade</v>
          </cell>
          <cell r="E407" t="str">
            <v>DMT</v>
          </cell>
          <cell r="I407" t="str">
            <v>Custo Unitário</v>
          </cell>
          <cell r="R407" t="str">
            <v>E9520</v>
          </cell>
          <cell r="S407" t="str">
            <v>Caminhão com caçamba térmica com capacidade de 6 m³ - 188 kW</v>
          </cell>
          <cell r="T407">
            <v>0</v>
          </cell>
          <cell r="U407">
            <v>0</v>
          </cell>
          <cell r="V407">
            <v>0</v>
          </cell>
          <cell r="W407">
            <v>0</v>
          </cell>
          <cell r="X407">
            <v>0</v>
          </cell>
          <cell r="Y407">
            <v>0</v>
          </cell>
          <cell r="Z407">
            <v>0</v>
          </cell>
          <cell r="AA407">
            <v>163.85919999999999</v>
          </cell>
          <cell r="AB407">
            <v>51.366300000000003</v>
          </cell>
          <cell r="AF407" t="str">
            <v>M1203</v>
          </cell>
          <cell r="AG407" t="str">
            <v>Pórtico metálico para vão de 12,5 m e vento de 35 m/s</v>
          </cell>
          <cell r="AH407" t="str">
            <v>un</v>
          </cell>
          <cell r="AI407">
            <v>35725.952100000002</v>
          </cell>
        </row>
        <row r="408">
          <cell r="E408" t="str">
            <v>LN</v>
          </cell>
          <cell r="F408" t="str">
            <v>RP</v>
          </cell>
          <cell r="G408" t="str">
            <v>P</v>
          </cell>
          <cell r="R408" t="str">
            <v>A9311</v>
          </cell>
          <cell r="S408" t="str">
            <v>Caminhão plataforma 6 x 2, PBT 24.100 kg e distância entre eixos 4,8 m - 188 kW - Motorista de caminhão</v>
          </cell>
          <cell r="T408">
            <v>361650.57919999998</v>
          </cell>
          <cell r="U408">
            <v>15.4993</v>
          </cell>
          <cell r="V408">
            <v>3.2549000000000001</v>
          </cell>
          <cell r="W408">
            <v>2.5832000000000002</v>
          </cell>
          <cell r="X408">
            <v>23.248999999999999</v>
          </cell>
          <cell r="Y408">
            <v>84.276600000000002</v>
          </cell>
          <cell r="Z408">
            <v>24.831199999999999</v>
          </cell>
          <cell r="AA408">
            <v>153.6942</v>
          </cell>
          <cell r="AB408">
            <v>46.168599999999998</v>
          </cell>
          <cell r="AF408" t="str">
            <v>M1204</v>
          </cell>
          <cell r="AG408" t="str">
            <v>Pórtico metálico para vão de 13,6 m e vento de 35 m/s</v>
          </cell>
          <cell r="AH408" t="str">
            <v>un</v>
          </cell>
          <cell r="AI408">
            <v>36703.0939</v>
          </cell>
        </row>
        <row r="409">
          <cell r="C409" t="str">
            <v>Custo unitário total de transporte</v>
          </cell>
          <cell r="I409" t="str">
            <v>-</v>
          </cell>
          <cell r="R409" t="str">
            <v>A9339</v>
          </cell>
          <cell r="S409" t="str">
            <v>Caçamba térmica com capacidade de 6 m³</v>
          </cell>
          <cell r="T409">
            <v>88307.47</v>
          </cell>
          <cell r="U409">
            <v>4.4154</v>
          </cell>
          <cell r="V409">
            <v>0.7823</v>
          </cell>
          <cell r="W409">
            <v>0</v>
          </cell>
          <cell r="X409">
            <v>4.9672999999999998</v>
          </cell>
          <cell r="Y409">
            <v>0</v>
          </cell>
          <cell r="Z409">
            <v>0</v>
          </cell>
          <cell r="AA409">
            <v>10.164999999999999</v>
          </cell>
          <cell r="AB409">
            <v>5.1977000000000002</v>
          </cell>
          <cell r="AF409" t="str">
            <v>M1205</v>
          </cell>
          <cell r="AG409" t="str">
            <v>Prego de ferro</v>
          </cell>
          <cell r="AH409" t="str">
            <v>kg</v>
          </cell>
          <cell r="AI409">
            <v>8.9567999999999994</v>
          </cell>
        </row>
        <row r="410">
          <cell r="C410">
            <v>4915719</v>
          </cell>
          <cell r="D410" t="str">
            <v>m²</v>
          </cell>
          <cell r="E410" t="str">
            <v>Custo unitário direto total</v>
          </cell>
          <cell r="I410">
            <v>24.958696428571429</v>
          </cell>
          <cell r="R410" t="str">
            <v>E9571</v>
          </cell>
          <cell r="S410" t="str">
            <v>Caminhão tanque com capacidade de 10.000 l - 188 kW</v>
          </cell>
          <cell r="T410">
            <v>0</v>
          </cell>
          <cell r="U410">
            <v>0</v>
          </cell>
          <cell r="V410">
            <v>0</v>
          </cell>
          <cell r="W410">
            <v>0</v>
          </cell>
          <cell r="X410">
            <v>0</v>
          </cell>
          <cell r="Y410">
            <v>0</v>
          </cell>
          <cell r="Z410">
            <v>0</v>
          </cell>
          <cell r="AA410">
            <v>193.94450000000001</v>
          </cell>
          <cell r="AB410">
            <v>51.562800000000003</v>
          </cell>
          <cell r="AF410" t="str">
            <v>M1207</v>
          </cell>
          <cell r="AG410" t="str">
            <v>Pórtico metálico para vão de 14,8 m e vento de 35 m/s</v>
          </cell>
          <cell r="AH410" t="str">
            <v>un</v>
          </cell>
          <cell r="AI410">
            <v>37386.003400000001</v>
          </cell>
        </row>
        <row r="411">
          <cell r="R411" t="str">
            <v>A9332</v>
          </cell>
          <cell r="S411" t="str">
            <v>Caminhão plataforma 6 x 2, PBT 24.100 kg e distância entre eixos 4,8 m - 188 kW - Motorista de caminhão</v>
          </cell>
          <cell r="T411">
            <v>361650.57919999998</v>
          </cell>
          <cell r="U411">
            <v>15.4993</v>
          </cell>
          <cell r="V411">
            <v>3.2549000000000001</v>
          </cell>
          <cell r="W411">
            <v>2.5832000000000002</v>
          </cell>
          <cell r="X411">
            <v>23.248999999999999</v>
          </cell>
          <cell r="Y411">
            <v>114.3754</v>
          </cell>
          <cell r="Z411">
            <v>24.831199999999999</v>
          </cell>
          <cell r="AA411">
            <v>183.79300000000001</v>
          </cell>
          <cell r="AB411">
            <v>46.168599999999998</v>
          </cell>
          <cell r="AF411" t="str">
            <v>M1209</v>
          </cell>
          <cell r="AG411" t="str">
            <v>Primer para superfícies porosas</v>
          </cell>
          <cell r="AH411" t="str">
            <v>l</v>
          </cell>
          <cell r="AI411">
            <v>81.015500000000003</v>
          </cell>
        </row>
        <row r="412">
          <cell r="R412" t="str">
            <v>A9360</v>
          </cell>
          <cell r="S412" t="str">
            <v>Tanque para transporte de água com capacidade de 10.000 l</v>
          </cell>
          <cell r="T412">
            <v>68981.324999999997</v>
          </cell>
          <cell r="U412">
            <v>4.7572999999999999</v>
          </cell>
          <cell r="V412">
            <v>0.63690000000000002</v>
          </cell>
          <cell r="W412">
            <v>0</v>
          </cell>
          <cell r="X412">
            <v>4.7572999999999999</v>
          </cell>
          <cell r="Y412">
            <v>0</v>
          </cell>
          <cell r="Z412">
            <v>0</v>
          </cell>
          <cell r="AA412">
            <v>10.1515</v>
          </cell>
          <cell r="AB412">
            <v>5.3941999999999997</v>
          </cell>
          <cell r="AF412" t="str">
            <v>M1210</v>
          </cell>
          <cell r="AG412" t="str">
            <v>Pórtico metálico para vão de 15,9 m e vento de 35 m/s</v>
          </cell>
          <cell r="AH412" t="str">
            <v>un</v>
          </cell>
          <cell r="AI412">
            <v>38067.096700000002</v>
          </cell>
        </row>
        <row r="413">
          <cell r="I413" t="str">
            <v>DNIT</v>
          </cell>
          <cell r="R413" t="str">
            <v>E9575</v>
          </cell>
          <cell r="S413" t="str">
            <v>Caminhão basculante com caçamba estanque com capacidade de 14 m³ - 188 kW</v>
          </cell>
          <cell r="T413">
            <v>0</v>
          </cell>
          <cell r="U413">
            <v>0</v>
          </cell>
          <cell r="V413">
            <v>0</v>
          </cell>
          <cell r="W413">
            <v>0</v>
          </cell>
          <cell r="X413">
            <v>0</v>
          </cell>
          <cell r="Y413">
            <v>0</v>
          </cell>
          <cell r="Z413">
            <v>0</v>
          </cell>
          <cell r="AA413">
            <v>162.07060000000001</v>
          </cell>
          <cell r="AB413">
            <v>52.725200000000001</v>
          </cell>
          <cell r="AF413" t="str">
            <v>M1211</v>
          </cell>
          <cell r="AG413" t="str">
            <v>Pórtico metálico para vão de 17,0 m e vento de 35 m/s</v>
          </cell>
          <cell r="AH413" t="str">
            <v>un</v>
          </cell>
          <cell r="AI413">
            <v>40537.194799999997</v>
          </cell>
        </row>
        <row r="414">
          <cell r="R414" t="str">
            <v>A9317</v>
          </cell>
          <cell r="S414" t="str">
            <v>Caminhão plataforma 8 x 2, PBT 29.000 kg e distância entre eixos 4,8 m - 188 kW - Motorista de veículo especial</v>
          </cell>
          <cell r="T414">
            <v>331936.23680000001</v>
          </cell>
          <cell r="U414">
            <v>14.2258</v>
          </cell>
          <cell r="V414">
            <v>2.9874000000000001</v>
          </cell>
          <cell r="W414">
            <v>2.371</v>
          </cell>
          <cell r="X414">
            <v>21.338799999999999</v>
          </cell>
          <cell r="Y414">
            <v>84.276600000000002</v>
          </cell>
          <cell r="Z414">
            <v>29.414200000000001</v>
          </cell>
          <cell r="AA414">
            <v>154.6138</v>
          </cell>
          <cell r="AB414">
            <v>48.998399999999997</v>
          </cell>
          <cell r="AF414" t="str">
            <v>M1212</v>
          </cell>
          <cell r="AG414" t="str">
            <v>Pórtico metálico para vão de 18,1 m e vento de 35 m/s</v>
          </cell>
          <cell r="AH414" t="str">
            <v>un</v>
          </cell>
          <cell r="AI414">
            <v>41343.609199999999</v>
          </cell>
        </row>
        <row r="415">
          <cell r="D415" t="str">
            <v>Outubro/2019</v>
          </cell>
          <cell r="G415" t="str">
            <v>Produção da equipe</v>
          </cell>
          <cell r="H415">
            <v>22</v>
          </cell>
          <cell r="I415" t="str">
            <v>m²</v>
          </cell>
          <cell r="R415" t="str">
            <v>A9345</v>
          </cell>
          <cell r="S415" t="str">
            <v>Caçamba basculante estanque com capacidade de 14 m³</v>
          </cell>
          <cell r="T415">
            <v>43931.4</v>
          </cell>
          <cell r="U415">
            <v>3.3155999999999999</v>
          </cell>
          <cell r="V415">
            <v>0.41120000000000001</v>
          </cell>
          <cell r="W415">
            <v>0</v>
          </cell>
          <cell r="X415">
            <v>3.73</v>
          </cell>
          <cell r="Y415">
            <v>0</v>
          </cell>
          <cell r="Z415">
            <v>0</v>
          </cell>
          <cell r="AA415">
            <v>7.4568000000000003</v>
          </cell>
          <cell r="AB415">
            <v>3.7267999999999999</v>
          </cell>
          <cell r="AF415" t="str">
            <v>M1213</v>
          </cell>
          <cell r="AG415" t="str">
            <v>Pórtico metálico para vão de 19,2 m e vento de 35 m/s</v>
          </cell>
          <cell r="AH415" t="str">
            <v>un</v>
          </cell>
          <cell r="AI415">
            <v>42444.255899999996</v>
          </cell>
        </row>
        <row r="416">
          <cell r="H416" t="str">
            <v>Valores em reais (R$)</v>
          </cell>
          <cell r="R416" t="str">
            <v>E9579</v>
          </cell>
          <cell r="S416" t="str">
            <v>Caminhão basculante com capacidade de 10 m³ - 188 kW</v>
          </cell>
          <cell r="T416">
            <v>0</v>
          </cell>
          <cell r="U416">
            <v>0</v>
          </cell>
          <cell r="V416">
            <v>0</v>
          </cell>
          <cell r="W416">
            <v>0</v>
          </cell>
          <cell r="X416">
            <v>0</v>
          </cell>
          <cell r="Y416">
            <v>0</v>
          </cell>
          <cell r="Z416">
            <v>0</v>
          </cell>
          <cell r="AA416">
            <v>156.64580000000001</v>
          </cell>
          <cell r="AB416">
            <v>47.721499999999999</v>
          </cell>
          <cell r="AF416" t="str">
            <v>M1214</v>
          </cell>
          <cell r="AG416" t="str">
            <v>Pórtico metálico para vão de 20,3 m e vento de 35 m/s</v>
          </cell>
          <cell r="AH416" t="str">
            <v>un</v>
          </cell>
          <cell r="AI416">
            <v>43250.670299999998</v>
          </cell>
        </row>
        <row r="417">
          <cell r="C417" t="str">
            <v>Quantidade</v>
          </cell>
          <cell r="D417" t="str">
            <v>Utilização</v>
          </cell>
          <cell r="F417" t="str">
            <v>Custo Horário</v>
          </cell>
          <cell r="I417" t="str">
            <v>Custo</v>
          </cell>
          <cell r="R417" t="str">
            <v>A9316</v>
          </cell>
          <cell r="S417" t="str">
            <v>Caminhão plataforma 8 x 2, PBT 29.000 kg e distância entre eixos 4,8 m - 188 kW - Motorista de caminhão</v>
          </cell>
          <cell r="T417">
            <v>331936.23680000001</v>
          </cell>
          <cell r="U417">
            <v>14.2258</v>
          </cell>
          <cell r="V417">
            <v>2.9874000000000001</v>
          </cell>
          <cell r="W417">
            <v>2.371</v>
          </cell>
          <cell r="X417">
            <v>21.338799999999999</v>
          </cell>
          <cell r="Y417">
            <v>84.276600000000002</v>
          </cell>
          <cell r="Z417">
            <v>24.831199999999999</v>
          </cell>
          <cell r="AA417">
            <v>150.0308</v>
          </cell>
          <cell r="AB417">
            <v>44.415399999999998</v>
          </cell>
          <cell r="AF417" t="str">
            <v>M1215</v>
          </cell>
          <cell r="AG417" t="str">
            <v>Pórtico metálico para vão de 21,5 m e vento de 35 m/s</v>
          </cell>
          <cell r="AH417" t="str">
            <v>un</v>
          </cell>
          <cell r="AI417">
            <v>45501.002399999998</v>
          </cell>
        </row>
        <row r="418">
          <cell r="D418" t="str">
            <v>Operativa</v>
          </cell>
          <cell r="E418" t="str">
            <v>Improdutiva</v>
          </cell>
          <cell r="F418" t="str">
            <v>Produtivo</v>
          </cell>
          <cell r="G418" t="str">
            <v>Improdutivo</v>
          </cell>
          <cell r="I418" t="str">
            <v>Horário Total</v>
          </cell>
          <cell r="R418" t="str">
            <v>A9342</v>
          </cell>
          <cell r="S418" t="str">
            <v>Caçamba basculante com capacidade de 10 m³</v>
          </cell>
          <cell r="T418">
            <v>38971.565000000002</v>
          </cell>
          <cell r="U418">
            <v>2.9413</v>
          </cell>
          <cell r="V418">
            <v>0.36480000000000001</v>
          </cell>
          <cell r="W418">
            <v>0</v>
          </cell>
          <cell r="X418">
            <v>3.3089</v>
          </cell>
          <cell r="Y418">
            <v>0</v>
          </cell>
          <cell r="Z418">
            <v>0</v>
          </cell>
          <cell r="AA418">
            <v>6.6150000000000002</v>
          </cell>
          <cell r="AB418">
            <v>3.3060999999999998</v>
          </cell>
          <cell r="AF418" t="str">
            <v>M1216</v>
          </cell>
          <cell r="AG418" t="str">
            <v>Pórtico metálico para vão de 22,6 m e vento de 35 m/s</v>
          </cell>
          <cell r="AH418" t="str">
            <v>un</v>
          </cell>
          <cell r="AI418">
            <v>46310.141100000001</v>
          </cell>
        </row>
        <row r="419">
          <cell r="C419">
            <v>1</v>
          </cell>
          <cell r="D419">
            <v>0.5</v>
          </cell>
          <cell r="E419">
            <v>0.5</v>
          </cell>
          <cell r="F419">
            <v>87.298900000000003</v>
          </cell>
          <cell r="G419">
            <v>37.209699999999998</v>
          </cell>
          <cell r="I419">
            <v>62.254300000000001</v>
          </cell>
          <cell r="R419" t="str">
            <v>E9592</v>
          </cell>
          <cell r="S419" t="str">
            <v>Caminhão carroceria com capacidade de 15 t - 188 kW</v>
          </cell>
          <cell r="T419">
            <v>0</v>
          </cell>
          <cell r="U419">
            <v>0</v>
          </cell>
          <cell r="V419">
            <v>0</v>
          </cell>
          <cell r="W419">
            <v>0</v>
          </cell>
          <cell r="X419">
            <v>0</v>
          </cell>
          <cell r="Y419">
            <v>0</v>
          </cell>
          <cell r="Z419">
            <v>0</v>
          </cell>
          <cell r="AA419">
            <v>151.76990000000001</v>
          </cell>
          <cell r="AB419">
            <v>45.386600000000001</v>
          </cell>
          <cell r="AF419" t="str">
            <v>M1217</v>
          </cell>
          <cell r="AG419" t="str">
            <v>Pórtico metálico para vão de 23,7 m e vento de 35 m/s</v>
          </cell>
          <cell r="AH419" t="str">
            <v>un</v>
          </cell>
          <cell r="AI419">
            <v>47113.831200000001</v>
          </cell>
        </row>
        <row r="420">
          <cell r="G420" t="str">
            <v>Custo horário total de equipamentos</v>
          </cell>
          <cell r="I420">
            <v>62.254300000000001</v>
          </cell>
          <cell r="R420" t="str">
            <v>A9314</v>
          </cell>
          <cell r="S420" t="str">
            <v>Caminhão plataforma 6 x 2, PBT 24.100 kg e distância entre eixos 5,4 m - 188 kW - Motorista de caminhão</v>
          </cell>
          <cell r="T420">
            <v>324707.1018</v>
          </cell>
          <cell r="U420">
            <v>13.916</v>
          </cell>
          <cell r="V420">
            <v>2.9224000000000001</v>
          </cell>
          <cell r="W420">
            <v>2.3193000000000001</v>
          </cell>
          <cell r="X420">
            <v>20.873999999999999</v>
          </cell>
          <cell r="Y420">
            <v>84.276600000000002</v>
          </cell>
          <cell r="Z420">
            <v>24.831199999999999</v>
          </cell>
          <cell r="AA420">
            <v>149.1395</v>
          </cell>
          <cell r="AB420">
            <v>43.988900000000001</v>
          </cell>
          <cell r="AF420" t="str">
            <v>M1218</v>
          </cell>
          <cell r="AG420" t="str">
            <v>Projetor externo em alumínio fundido para lâmpada até 2.000 W</v>
          </cell>
          <cell r="AH420" t="str">
            <v>un</v>
          </cell>
          <cell r="AI420">
            <v>638</v>
          </cell>
        </row>
        <row r="421">
          <cell r="C421" t="str">
            <v>Quantidade</v>
          </cell>
          <cell r="D421" t="str">
            <v>Unidade</v>
          </cell>
          <cell r="E421" t="str">
            <v>Custo Horário</v>
          </cell>
          <cell r="G421" t="str">
            <v>Custo Horário Total</v>
          </cell>
          <cell r="R421" t="str">
            <v>A9352</v>
          </cell>
          <cell r="S421" t="str">
            <v>Carroceria de madeira com capacidade de 15 t</v>
          </cell>
          <cell r="T421">
            <v>17873.46</v>
          </cell>
          <cell r="U421">
            <v>1.2326999999999999</v>
          </cell>
          <cell r="V421">
            <v>0.16500000000000001</v>
          </cell>
          <cell r="W421">
            <v>0</v>
          </cell>
          <cell r="X421">
            <v>1.2326999999999999</v>
          </cell>
          <cell r="Y421">
            <v>0</v>
          </cell>
          <cell r="Z421">
            <v>0</v>
          </cell>
          <cell r="AA421">
            <v>2.6303999999999998</v>
          </cell>
          <cell r="AB421">
            <v>1.3976999999999999</v>
          </cell>
          <cell r="AF421" t="str">
            <v>M1220</v>
          </cell>
          <cell r="AG421" t="str">
            <v>Pórtico metálico para vão de 24,8 m e vento de 35 m/s</v>
          </cell>
          <cell r="AH421" t="str">
            <v>un</v>
          </cell>
          <cell r="AI421">
            <v>52938.540500000003</v>
          </cell>
        </row>
        <row r="422">
          <cell r="C422">
            <v>4</v>
          </cell>
          <cell r="D422" t="str">
            <v>h</v>
          </cell>
          <cell r="F422">
            <v>19.378599999999999</v>
          </cell>
          <cell r="I422">
            <v>77.514399999999995</v>
          </cell>
          <cell r="R422" t="str">
            <v>E9600</v>
          </cell>
          <cell r="S422" t="str">
            <v>Caminhão betoneira com capacidade de 8 m³ - 188 kW</v>
          </cell>
          <cell r="T422">
            <v>0</v>
          </cell>
          <cell r="U422">
            <v>0</v>
          </cell>
          <cell r="V422">
            <v>0</v>
          </cell>
          <cell r="W422">
            <v>0</v>
          </cell>
          <cell r="X422">
            <v>0</v>
          </cell>
          <cell r="Y422">
            <v>0</v>
          </cell>
          <cell r="Z422">
            <v>0</v>
          </cell>
          <cell r="AA422">
            <v>171.0427</v>
          </cell>
          <cell r="AB422">
            <v>57.209299999999999</v>
          </cell>
          <cell r="AF422" t="str">
            <v>M1221</v>
          </cell>
          <cell r="AG422" t="str">
            <v>Pórtico metálico para vão de 26,0 m e vento de 35 m/s</v>
          </cell>
          <cell r="AH422" t="str">
            <v>un</v>
          </cell>
          <cell r="AI422">
            <v>53958.364200000004</v>
          </cell>
        </row>
        <row r="423">
          <cell r="C423" t="str">
            <v>Custo horário total de mão de obra</v>
          </cell>
          <cell r="H423">
            <v>77.514399999999995</v>
          </cell>
          <cell r="R423" t="str">
            <v>A9317</v>
          </cell>
          <cell r="S423" t="str">
            <v>Caminhão plataforma 8 x 2, PBT 29.000 kg e distância entre eixos 4,8 m - 188 kW - Motorista de veículo especial</v>
          </cell>
          <cell r="T423">
            <v>331936.23680000001</v>
          </cell>
          <cell r="U423">
            <v>14.2258</v>
          </cell>
          <cell r="V423">
            <v>2.9874000000000001</v>
          </cell>
          <cell r="W423">
            <v>2.371</v>
          </cell>
          <cell r="X423">
            <v>21.338799999999999</v>
          </cell>
          <cell r="Y423">
            <v>84.276600000000002</v>
          </cell>
          <cell r="Z423">
            <v>29.414200000000001</v>
          </cell>
          <cell r="AA423">
            <v>154.6138</v>
          </cell>
          <cell r="AB423">
            <v>48.998399999999997</v>
          </cell>
          <cell r="AF423" t="str">
            <v>M1222</v>
          </cell>
          <cell r="AG423" t="str">
            <v>Pórtico metálico para vão de 27,1 m e vento de 35 m/s</v>
          </cell>
          <cell r="AH423" t="str">
            <v>un</v>
          </cell>
          <cell r="AI423">
            <v>58281.944100000001</v>
          </cell>
        </row>
        <row r="424">
          <cell r="C424" t="str">
            <v>Custo horário total de execução</v>
          </cell>
          <cell r="I424">
            <v>139.7687</v>
          </cell>
          <cell r="R424" t="str">
            <v>A9346</v>
          </cell>
          <cell r="S424" t="str">
            <v>Misturador de concreto para montagem em chassi de caminhão com capacidade de 8 m³</v>
          </cell>
          <cell r="T424">
            <v>96789.5</v>
          </cell>
          <cell r="U424">
            <v>7.3048999999999999</v>
          </cell>
          <cell r="V424">
            <v>0.90600000000000003</v>
          </cell>
          <cell r="W424">
            <v>0</v>
          </cell>
          <cell r="X424">
            <v>8.218</v>
          </cell>
          <cell r="Y424">
            <v>0</v>
          </cell>
          <cell r="Z424">
            <v>0</v>
          </cell>
          <cell r="AA424">
            <v>16.428899999999999</v>
          </cell>
          <cell r="AB424">
            <v>8.2109000000000005</v>
          </cell>
          <cell r="AF424" t="str">
            <v>M1242</v>
          </cell>
          <cell r="AG424" t="str">
            <v>Coroa diamantada - D = 16 mm</v>
          </cell>
          <cell r="AH424" t="str">
            <v>un</v>
          </cell>
          <cell r="AI424">
            <v>509.94439999999997</v>
          </cell>
        </row>
        <row r="425">
          <cell r="C425" t="str">
            <v>Custo unitário de execução</v>
          </cell>
          <cell r="I425">
            <v>6.3531227272727273</v>
          </cell>
          <cell r="R425" t="str">
            <v>E9604</v>
          </cell>
          <cell r="S425" t="str">
            <v>Caminhão basculante para rocha com capacidade de 8 m³ - 210 kW</v>
          </cell>
          <cell r="T425">
            <v>0</v>
          </cell>
          <cell r="U425">
            <v>0</v>
          </cell>
          <cell r="V425">
            <v>0</v>
          </cell>
          <cell r="W425">
            <v>0</v>
          </cell>
          <cell r="X425">
            <v>0</v>
          </cell>
          <cell r="Y425">
            <v>0</v>
          </cell>
          <cell r="Z425">
            <v>0</v>
          </cell>
          <cell r="AA425">
            <v>177.1687</v>
          </cell>
          <cell r="AB425">
            <v>52.796799999999998</v>
          </cell>
          <cell r="AF425" t="str">
            <v>M1243</v>
          </cell>
          <cell r="AG425" t="str">
            <v>Coroa diamantada - D = 20 mm</v>
          </cell>
          <cell r="AH425" t="str">
            <v>un</v>
          </cell>
          <cell r="AI425">
            <v>495.82889999999998</v>
          </cell>
        </row>
        <row r="426">
          <cell r="G426" t="str">
            <v>Custo do FIC</v>
          </cell>
          <cell r="R426" t="str">
            <v>A9315</v>
          </cell>
          <cell r="S426" t="str">
            <v>Caminhão basculante 6 x 4, PBT 23.000 kg e distância entre eixos 3,6 m - 210 kW - Motorista de caminhão</v>
          </cell>
          <cell r="T426">
            <v>428563.86629999999</v>
          </cell>
          <cell r="U426">
            <v>18.367000000000001</v>
          </cell>
          <cell r="V426">
            <v>3.8571</v>
          </cell>
          <cell r="W426">
            <v>3.0611999999999999</v>
          </cell>
          <cell r="X426">
            <v>27.5505</v>
          </cell>
          <cell r="Y426">
            <v>94.138800000000003</v>
          </cell>
          <cell r="Z426">
            <v>24.831199999999999</v>
          </cell>
          <cell r="AA426">
            <v>171.8058</v>
          </cell>
          <cell r="AB426">
            <v>50.116500000000002</v>
          </cell>
          <cell r="AF426" t="str">
            <v>M1244</v>
          </cell>
          <cell r="AG426" t="str">
            <v>Coroa diamantada - D = 25 mm</v>
          </cell>
          <cell r="AH426" t="str">
            <v>un</v>
          </cell>
          <cell r="AI426">
            <v>623.88589999999999</v>
          </cell>
        </row>
        <row r="427">
          <cell r="G427" t="str">
            <v>Custo do FIT</v>
          </cell>
          <cell r="R427" t="str">
            <v>A9341</v>
          </cell>
          <cell r="S427" t="str">
            <v>Caçamba basculante para rocha com capacidade de 8 m³</v>
          </cell>
          <cell r="T427">
            <v>31594.5</v>
          </cell>
          <cell r="U427">
            <v>2.3845000000000001</v>
          </cell>
          <cell r="V427">
            <v>0.29580000000000001</v>
          </cell>
          <cell r="W427">
            <v>0</v>
          </cell>
          <cell r="X427">
            <v>2.6825999999999999</v>
          </cell>
          <cell r="Y427">
            <v>0</v>
          </cell>
          <cell r="Z427">
            <v>0</v>
          </cell>
          <cell r="AA427">
            <v>5.3628999999999998</v>
          </cell>
          <cell r="AB427">
            <v>2.6802999999999999</v>
          </cell>
          <cell r="AF427" t="str">
            <v>M1245</v>
          </cell>
          <cell r="AG427" t="str">
            <v>Vergalhão rosca total - D = 3/8"</v>
          </cell>
          <cell r="AH427" t="str">
            <v>m</v>
          </cell>
          <cell r="AI427">
            <v>4.2656999999999998</v>
          </cell>
        </row>
        <row r="428">
          <cell r="C428" t="str">
            <v>Quantidade</v>
          </cell>
          <cell r="D428" t="str">
            <v>Unidade</v>
          </cell>
          <cell r="E428" t="str">
            <v>Preço Unitário</v>
          </cell>
          <cell r="G428" t="str">
            <v>Custo Unitário</v>
          </cell>
          <cell r="R428" t="str">
            <v>E9605</v>
          </cell>
          <cell r="S428" t="str">
            <v>Caminhão tanque com capacidade de 6.000 l - 136 kW</v>
          </cell>
          <cell r="T428">
            <v>0</v>
          </cell>
          <cell r="U428">
            <v>0</v>
          </cell>
          <cell r="V428">
            <v>0</v>
          </cell>
          <cell r="W428">
            <v>0</v>
          </cell>
          <cell r="X428">
            <v>0</v>
          </cell>
          <cell r="Y428">
            <v>0</v>
          </cell>
          <cell r="Z428">
            <v>0</v>
          </cell>
          <cell r="AA428">
            <v>150.82040000000001</v>
          </cell>
          <cell r="AB428">
            <v>45.980899999999998</v>
          </cell>
          <cell r="AF428" t="str">
            <v>M1260</v>
          </cell>
          <cell r="AG428" t="str">
            <v>Tacha refletiva metálica monodirecional com um pino</v>
          </cell>
          <cell r="AH428" t="str">
            <v>un</v>
          </cell>
          <cell r="AI428">
            <v>14.618399999999999</v>
          </cell>
        </row>
        <row r="429">
          <cell r="C429">
            <v>0.1</v>
          </cell>
          <cell r="D429" t="str">
            <v>l</v>
          </cell>
          <cell r="F429">
            <v>2.8180000000000001</v>
          </cell>
          <cell r="I429">
            <v>0.28179999999999999</v>
          </cell>
          <cell r="R429" t="str">
            <v>A9323</v>
          </cell>
          <cell r="S429" t="str">
            <v>Caminhão plataforma 4 x 2, PBT 14.300 kg e distância entre eixos 4,8 m - 136 kW - Motorista de caminhão</v>
          </cell>
          <cell r="T429">
            <v>281365.40749999997</v>
          </cell>
          <cell r="U429">
            <v>12.0585</v>
          </cell>
          <cell r="V429">
            <v>2.5323000000000002</v>
          </cell>
          <cell r="W429">
            <v>2.0097999999999998</v>
          </cell>
          <cell r="X429">
            <v>18.087800000000001</v>
          </cell>
          <cell r="Y429">
            <v>82.739699999999999</v>
          </cell>
          <cell r="Z429">
            <v>24.831199999999999</v>
          </cell>
          <cell r="AA429">
            <v>142.2593</v>
          </cell>
          <cell r="AB429">
            <v>41.431800000000003</v>
          </cell>
          <cell r="AF429" t="str">
            <v>M1299</v>
          </cell>
          <cell r="AG429" t="str">
            <v>Roller bit - Tooth cutter - serie 8 - D = 600 mm</v>
          </cell>
          <cell r="AH429" t="str">
            <v>un</v>
          </cell>
          <cell r="AI429">
            <v>189129.78539999999</v>
          </cell>
        </row>
        <row r="430">
          <cell r="C430" t="str">
            <v>Custo unitário total de material</v>
          </cell>
          <cell r="I430">
            <v>0.28179999999999999</v>
          </cell>
          <cell r="R430" t="str">
            <v>A9358</v>
          </cell>
          <cell r="S430" t="str">
            <v>Tanque para transporte de água com capacidade de 6.000 l</v>
          </cell>
          <cell r="T430">
            <v>58174</v>
          </cell>
          <cell r="U430">
            <v>4.0119999999999996</v>
          </cell>
          <cell r="V430">
            <v>0.53710000000000002</v>
          </cell>
          <cell r="W430">
            <v>0</v>
          </cell>
          <cell r="X430">
            <v>4.0119999999999996</v>
          </cell>
          <cell r="Y430">
            <v>0</v>
          </cell>
          <cell r="Z430">
            <v>0</v>
          </cell>
          <cell r="AA430">
            <v>8.5610999999999997</v>
          </cell>
          <cell r="AB430">
            <v>4.5491000000000001</v>
          </cell>
          <cell r="AF430" t="str">
            <v>M1300</v>
          </cell>
          <cell r="AG430" t="str">
            <v>Roller bit - Tooth cutter - serie 8 - D = 700 mm</v>
          </cell>
          <cell r="AH430" t="str">
            <v>un</v>
          </cell>
          <cell r="AI430">
            <v>204440.27660000001</v>
          </cell>
        </row>
        <row r="431">
          <cell r="C431" t="str">
            <v>Quantidade</v>
          </cell>
          <cell r="D431" t="str">
            <v>Unidade</v>
          </cell>
          <cell r="E431" t="str">
            <v>Custo Unitário</v>
          </cell>
          <cell r="G431" t="str">
            <v>Custo Unitário</v>
          </cell>
          <cell r="R431" t="str">
            <v>E9644</v>
          </cell>
          <cell r="S431" t="str">
            <v>Caminhão demarcador de faixas com sistema de pintura a frio - 28 kW/115 kW</v>
          </cell>
          <cell r="T431">
            <v>0</v>
          </cell>
          <cell r="U431">
            <v>0</v>
          </cell>
          <cell r="V431">
            <v>0</v>
          </cell>
          <cell r="W431">
            <v>0</v>
          </cell>
          <cell r="X431">
            <v>0</v>
          </cell>
          <cell r="Y431">
            <v>0</v>
          </cell>
          <cell r="Z431">
            <v>0</v>
          </cell>
          <cell r="AA431">
            <v>264.30720000000002</v>
          </cell>
          <cell r="AB431">
            <v>120.6551</v>
          </cell>
          <cell r="AF431" t="str">
            <v>M1301</v>
          </cell>
          <cell r="AG431" t="str">
            <v>Roller bit - Tooth cutter - serie 8 - D = 800 mm</v>
          </cell>
          <cell r="AH431" t="str">
            <v>un</v>
          </cell>
          <cell r="AI431">
            <v>219706.26730000001</v>
          </cell>
        </row>
        <row r="432">
          <cell r="C432" t="str">
            <v>Custo total de atividades auxiliares</v>
          </cell>
          <cell r="R432" t="str">
            <v>A9302</v>
          </cell>
          <cell r="S432" t="str">
            <v>Caminhão plataforma 4 x 2, PBT 8.300 kg e distância entre eixos 4,4 m - 115 kW - Motorista de veículo especial</v>
          </cell>
          <cell r="T432">
            <v>182456.89939999999</v>
          </cell>
          <cell r="U432">
            <v>7.8196000000000003</v>
          </cell>
          <cell r="V432">
            <v>1.6420999999999999</v>
          </cell>
          <cell r="W432">
            <v>1.3032999999999999</v>
          </cell>
          <cell r="X432">
            <v>11.7294</v>
          </cell>
          <cell r="Y432">
            <v>69.963700000000003</v>
          </cell>
          <cell r="Z432">
            <v>29.414200000000001</v>
          </cell>
          <cell r="AA432">
            <v>121.8723</v>
          </cell>
          <cell r="AB432">
            <v>40.179200000000002</v>
          </cell>
          <cell r="AF432" t="str">
            <v>M1302</v>
          </cell>
          <cell r="AG432" t="str">
            <v>Roller bit - Tooth cutter - serie 8 - D = 900 mm</v>
          </cell>
          <cell r="AH432" t="str">
            <v>un</v>
          </cell>
          <cell r="AI432">
            <v>235021.98120000001</v>
          </cell>
        </row>
        <row r="433">
          <cell r="G433" t="str">
            <v>Subtotal</v>
          </cell>
          <cell r="R433" t="str">
            <v>A9368</v>
          </cell>
          <cell r="S433" t="str">
            <v>Equipamento demarcador de faixas a frio montado sobre chassi com capacidade de 800 l - 28 kW</v>
          </cell>
          <cell r="T433">
            <v>656965</v>
          </cell>
          <cell r="U433">
            <v>49.6374</v>
          </cell>
          <cell r="V433">
            <v>9.1974999999999998</v>
          </cell>
          <cell r="W433">
            <v>0</v>
          </cell>
          <cell r="X433">
            <v>46.717500000000001</v>
          </cell>
          <cell r="Y433">
            <v>15.2415</v>
          </cell>
          <cell r="Z433">
            <v>21.640999999999998</v>
          </cell>
          <cell r="AA433">
            <v>142.4349</v>
          </cell>
          <cell r="AB433">
            <v>80.475899999999996</v>
          </cell>
          <cell r="AF433" t="str">
            <v>M1303</v>
          </cell>
          <cell r="AG433" t="str">
            <v>Roller bit - Tooth cutter - serie 8 - D = 1.000 mm</v>
          </cell>
          <cell r="AH433" t="str">
            <v>un</v>
          </cell>
          <cell r="AI433">
            <v>262046.22210000001</v>
          </cell>
        </row>
        <row r="434">
          <cell r="C434" t="str">
            <v>Código</v>
          </cell>
          <cell r="D434" t="str">
            <v>Quantidade</v>
          </cell>
          <cell r="E434" t="str">
            <v>Unidade</v>
          </cell>
          <cell r="F434" t="str">
            <v>Custo Unitário</v>
          </cell>
          <cell r="H434" t="str">
            <v>Custo Unitário</v>
          </cell>
          <cell r="R434" t="str">
            <v>E9645</v>
          </cell>
          <cell r="S434" t="str">
            <v>Caminhão demarcador de faixas com sistema de pintura a quente - 46 kW/136 kW</v>
          </cell>
          <cell r="T434">
            <v>0</v>
          </cell>
          <cell r="U434">
            <v>0</v>
          </cell>
          <cell r="V434">
            <v>0</v>
          </cell>
          <cell r="W434">
            <v>0</v>
          </cell>
          <cell r="X434">
            <v>0</v>
          </cell>
          <cell r="Y434">
            <v>0</v>
          </cell>
          <cell r="Z434">
            <v>0</v>
          </cell>
          <cell r="AA434">
            <v>371.06950000000001</v>
          </cell>
          <cell r="AB434">
            <v>161.4111</v>
          </cell>
          <cell r="AF434" t="str">
            <v>M1304</v>
          </cell>
          <cell r="AG434" t="str">
            <v>Roller bit - Tooth cutter - serie 8 - D = 1.100 mm</v>
          </cell>
          <cell r="AH434" t="str">
            <v>un</v>
          </cell>
          <cell r="AI434">
            <v>289987.45909999998</v>
          </cell>
        </row>
        <row r="435">
          <cell r="C435" t="str">
            <v>Custo unitário total de tempo fixo</v>
          </cell>
          <cell r="R435" t="str">
            <v>A9305</v>
          </cell>
          <cell r="S435" t="str">
            <v>Caminhão plataforma 4 x 2, PBT 14.300 kg e distância entre eixos 4,8 m - 136 kW - Motorista de veículo especial</v>
          </cell>
          <cell r="T435">
            <v>281365.40749999997</v>
          </cell>
          <cell r="U435">
            <v>12.0585</v>
          </cell>
          <cell r="V435">
            <v>2.5323000000000002</v>
          </cell>
          <cell r="W435">
            <v>2.0097999999999998</v>
          </cell>
          <cell r="X435">
            <v>18.087800000000001</v>
          </cell>
          <cell r="Y435">
            <v>82.739699999999999</v>
          </cell>
          <cell r="Z435">
            <v>29.414200000000001</v>
          </cell>
          <cell r="AA435">
            <v>146.84229999999999</v>
          </cell>
          <cell r="AB435">
            <v>46.014800000000001</v>
          </cell>
          <cell r="AF435" t="str">
            <v>M1305</v>
          </cell>
          <cell r="AG435" t="str">
            <v>Roller bit - Tooth cutter - serie 8 - D = 1.200 mm</v>
          </cell>
          <cell r="AH435" t="str">
            <v>un</v>
          </cell>
          <cell r="AI435">
            <v>294435.2709</v>
          </cell>
        </row>
        <row r="436">
          <cell r="C436" t="str">
            <v>Quantidade</v>
          </cell>
          <cell r="D436" t="str">
            <v>Unidade</v>
          </cell>
          <cell r="E436" t="str">
            <v>DMT</v>
          </cell>
          <cell r="I436" t="str">
            <v>Custo Unitário</v>
          </cell>
          <cell r="R436" t="str">
            <v>A9328</v>
          </cell>
          <cell r="S436" t="str">
            <v>Compressor de ar portátil de 150 PCM sem reboque - 46 kW</v>
          </cell>
          <cell r="T436">
            <v>81426.750700000004</v>
          </cell>
          <cell r="U436">
            <v>5.4284999999999997</v>
          </cell>
          <cell r="V436">
            <v>0.74809999999999999</v>
          </cell>
          <cell r="W436">
            <v>0</v>
          </cell>
          <cell r="X436">
            <v>5.4284999999999997</v>
          </cell>
          <cell r="Y436">
            <v>25.0396</v>
          </cell>
          <cell r="Z436">
            <v>0</v>
          </cell>
          <cell r="AA436">
            <v>36.6447</v>
          </cell>
          <cell r="AB436">
            <v>6.1765999999999996</v>
          </cell>
          <cell r="AF436" t="str">
            <v>M1306</v>
          </cell>
          <cell r="AG436" t="str">
            <v>Roller bit - Tooth cutter - serie 13 - D = 1.300 mm</v>
          </cell>
          <cell r="AH436" t="str">
            <v>un</v>
          </cell>
          <cell r="AI436">
            <v>378875.31359999999</v>
          </cell>
        </row>
        <row r="437">
          <cell r="E437" t="str">
            <v>LN</v>
          </cell>
          <cell r="F437" t="str">
            <v>RP</v>
          </cell>
          <cell r="G437" t="str">
            <v>P</v>
          </cell>
          <cell r="R437" t="str">
            <v>A9369</v>
          </cell>
          <cell r="S437" t="str">
            <v>Equipamento demarcador de faixas a quente montado sobre chassi com capacidade de 500 l - 14,5 kW</v>
          </cell>
          <cell r="T437">
            <v>977925</v>
          </cell>
          <cell r="U437">
            <v>73.887699999999995</v>
          </cell>
          <cell r="V437">
            <v>13.691000000000001</v>
          </cell>
          <cell r="W437">
            <v>0</v>
          </cell>
          <cell r="X437">
            <v>69.541300000000007</v>
          </cell>
          <cell r="Y437">
            <v>8.8215000000000003</v>
          </cell>
          <cell r="Z437">
            <v>21.640999999999998</v>
          </cell>
          <cell r="AA437">
            <v>187.58250000000001</v>
          </cell>
          <cell r="AB437">
            <v>109.2197</v>
          </cell>
          <cell r="AF437" t="str">
            <v>M1307</v>
          </cell>
          <cell r="AG437" t="str">
            <v>Roller bit - Tooth cutter - serie 13 - D = 1.400 mm</v>
          </cell>
          <cell r="AH437" t="str">
            <v>un</v>
          </cell>
          <cell r="AI437">
            <v>384992.85950000002</v>
          </cell>
        </row>
        <row r="438">
          <cell r="C438" t="str">
            <v>Custo unitário total de transporte</v>
          </cell>
          <cell r="R438" t="str">
            <v>E9663</v>
          </cell>
          <cell r="S438" t="str">
            <v>Caminhão basculante com capacidade de 4 m³ - 136 kW</v>
          </cell>
          <cell r="T438">
            <v>0</v>
          </cell>
          <cell r="U438">
            <v>0</v>
          </cell>
          <cell r="V438">
            <v>0</v>
          </cell>
          <cell r="W438">
            <v>0</v>
          </cell>
          <cell r="X438">
            <v>0</v>
          </cell>
          <cell r="Y438">
            <v>0</v>
          </cell>
          <cell r="Z438">
            <v>0</v>
          </cell>
          <cell r="AA438">
            <v>107.2072</v>
          </cell>
          <cell r="AB438">
            <v>43.501100000000001</v>
          </cell>
          <cell r="AF438" t="str">
            <v>M1308</v>
          </cell>
          <cell r="AG438" t="str">
            <v>Roller bit - Tooth cutter - serie 13 - D = 1.500 mm</v>
          </cell>
          <cell r="AH438" t="str">
            <v>un</v>
          </cell>
          <cell r="AI438">
            <v>431486.7917</v>
          </cell>
        </row>
        <row r="439">
          <cell r="C439">
            <v>4915718</v>
          </cell>
          <cell r="D439" t="str">
            <v>m²</v>
          </cell>
          <cell r="E439" t="str">
            <v>Custo unitário direto total</v>
          </cell>
          <cell r="I439">
            <v>6.6349227272727269</v>
          </cell>
          <cell r="R439" t="str">
            <v>A9304</v>
          </cell>
          <cell r="S439" t="str">
            <v>Caminhão plataforma 4 x 2, PBT 14.300 kg e distância entre eixos 4,8 m - 136 kW - Motorista de caminhão</v>
          </cell>
          <cell r="T439">
            <v>281365.40749999997</v>
          </cell>
          <cell r="U439">
            <v>12.0585</v>
          </cell>
          <cell r="V439">
            <v>2.5323000000000002</v>
          </cell>
          <cell r="W439">
            <v>2.0097999999999998</v>
          </cell>
          <cell r="X439">
            <v>18.087800000000001</v>
          </cell>
          <cell r="Y439">
            <v>43.547199999999997</v>
          </cell>
          <cell r="Z439">
            <v>24.831199999999999</v>
          </cell>
          <cell r="AA439">
            <v>103.0668</v>
          </cell>
          <cell r="AB439">
            <v>41.431800000000003</v>
          </cell>
          <cell r="AF439" t="str">
            <v>M1309</v>
          </cell>
          <cell r="AG439" t="str">
            <v>Roller bit - Tooth cutter - serie 13 - D = 1.600 mm</v>
          </cell>
          <cell r="AH439" t="str">
            <v>un</v>
          </cell>
          <cell r="AI439">
            <v>472774.51490000001</v>
          </cell>
        </row>
        <row r="440">
          <cell r="R440" t="str">
            <v>A9336</v>
          </cell>
          <cell r="S440" t="str">
            <v>Caçamba basculante com capacidade de 4 m³</v>
          </cell>
          <cell r="T440">
            <v>24392.959999999999</v>
          </cell>
          <cell r="U440">
            <v>1.841</v>
          </cell>
          <cell r="V440">
            <v>0.2283</v>
          </cell>
          <cell r="W440">
            <v>0</v>
          </cell>
          <cell r="X440">
            <v>2.0710999999999999</v>
          </cell>
          <cell r="Y440">
            <v>0</v>
          </cell>
          <cell r="Z440">
            <v>0</v>
          </cell>
          <cell r="AA440">
            <v>4.1403999999999996</v>
          </cell>
          <cell r="AB440">
            <v>2.0693000000000001</v>
          </cell>
          <cell r="AF440" t="str">
            <v>M1310</v>
          </cell>
          <cell r="AG440" t="str">
            <v>Roller bit - Tooth cutter - serie 13 - D = 1.700 mm</v>
          </cell>
          <cell r="AH440" t="str">
            <v>un</v>
          </cell>
          <cell r="AI440">
            <v>485333.94260000001</v>
          </cell>
        </row>
        <row r="441">
          <cell r="R441" t="str">
            <v>E9665</v>
          </cell>
          <cell r="S441" t="str">
            <v>Cavalo mecânico com semirreboque com capacidade de 22 t - 240 kW</v>
          </cell>
          <cell r="T441">
            <v>0</v>
          </cell>
          <cell r="U441">
            <v>0</v>
          </cell>
          <cell r="V441">
            <v>0</v>
          </cell>
          <cell r="W441">
            <v>0</v>
          </cell>
          <cell r="X441">
            <v>0</v>
          </cell>
          <cell r="Y441">
            <v>0</v>
          </cell>
          <cell r="Z441">
            <v>0</v>
          </cell>
          <cell r="AA441">
            <v>207.327</v>
          </cell>
          <cell r="AB441">
            <v>64.238</v>
          </cell>
          <cell r="AF441" t="str">
            <v>M1311</v>
          </cell>
          <cell r="AG441" t="str">
            <v>Roller bit - Tooth cutter - serie 13 - D = 1.800 mm</v>
          </cell>
          <cell r="AH441" t="str">
            <v>un</v>
          </cell>
          <cell r="AI441">
            <v>525322.71840000001</v>
          </cell>
        </row>
        <row r="442">
          <cell r="I442" t="str">
            <v>DNIT</v>
          </cell>
          <cell r="R442" t="str">
            <v>A9318</v>
          </cell>
          <cell r="S442" t="str">
            <v>Cavalo mecânico 4 x 2, PBT 16.000 kg - 240 kW - Motorista de veículo especial</v>
          </cell>
          <cell r="T442">
            <v>376723.68040000001</v>
          </cell>
          <cell r="U442">
            <v>16.145299999999999</v>
          </cell>
          <cell r="V442">
            <v>3.3904999999999998</v>
          </cell>
          <cell r="W442">
            <v>2.6909000000000001</v>
          </cell>
          <cell r="X442">
            <v>24.218</v>
          </cell>
          <cell r="Y442">
            <v>107.5872</v>
          </cell>
          <cell r="Z442">
            <v>29.414200000000001</v>
          </cell>
          <cell r="AA442">
            <v>183.4461</v>
          </cell>
          <cell r="AB442">
            <v>51.640900000000002</v>
          </cell>
          <cell r="AF442" t="str">
            <v>M1313</v>
          </cell>
          <cell r="AG442" t="str">
            <v>Roller bit - TCI button cutter - serie 8 - D = 600 mm</v>
          </cell>
          <cell r="AH442" t="str">
            <v>un</v>
          </cell>
          <cell r="AI442">
            <v>182076.6201</v>
          </cell>
        </row>
        <row r="443">
          <cell r="R443" t="str">
            <v>A9353</v>
          </cell>
          <cell r="S443" t="str">
            <v>Semirreboque com 2 eixos</v>
          </cell>
          <cell r="T443">
            <v>150450</v>
          </cell>
          <cell r="U443">
            <v>10.029999999999999</v>
          </cell>
          <cell r="V443">
            <v>2.5670999999999999</v>
          </cell>
          <cell r="W443">
            <v>0</v>
          </cell>
          <cell r="X443">
            <v>11.283799999999999</v>
          </cell>
          <cell r="Y443">
            <v>0</v>
          </cell>
          <cell r="Z443">
            <v>0</v>
          </cell>
          <cell r="AA443">
            <v>23.8809</v>
          </cell>
          <cell r="AB443">
            <v>12.597099999999999</v>
          </cell>
          <cell r="AF443" t="str">
            <v>M1314</v>
          </cell>
          <cell r="AG443" t="str">
            <v>Roller bit - TCI button cutter - serie 8 - D = 700 mm</v>
          </cell>
          <cell r="AH443" t="str">
            <v>un</v>
          </cell>
          <cell r="AI443">
            <v>195950.3554</v>
          </cell>
        </row>
        <row r="444">
          <cell r="D444" t="str">
            <v>Outubro/2019</v>
          </cell>
          <cell r="G444" t="str">
            <v>Produção da equipe</v>
          </cell>
          <cell r="H444">
            <v>13.5</v>
          </cell>
          <cell r="I444" t="str">
            <v>m</v>
          </cell>
          <cell r="R444" t="str">
            <v>E9666</v>
          </cell>
          <cell r="S444" t="str">
            <v>Cavalo mecânico com semirreboque com capacidade de 30 t - 265 kW</v>
          </cell>
          <cell r="T444">
            <v>0</v>
          </cell>
          <cell r="U444">
            <v>0</v>
          </cell>
          <cell r="V444">
            <v>0</v>
          </cell>
          <cell r="W444">
            <v>0</v>
          </cell>
          <cell r="X444">
            <v>0</v>
          </cell>
          <cell r="Y444">
            <v>0</v>
          </cell>
          <cell r="Z444">
            <v>0</v>
          </cell>
          <cell r="AA444">
            <v>228.16739999999999</v>
          </cell>
          <cell r="AB444">
            <v>66.707700000000003</v>
          </cell>
          <cell r="AF444" t="str">
            <v>M1315</v>
          </cell>
          <cell r="AG444" t="str">
            <v>Roller bit - TCI button cutter - serie 8 - D = 800 mm</v>
          </cell>
          <cell r="AH444" t="str">
            <v>un</v>
          </cell>
          <cell r="AI444">
            <v>209823.12820000001</v>
          </cell>
        </row>
        <row r="445">
          <cell r="H445" t="str">
            <v>Valores em reais (R$)</v>
          </cell>
          <cell r="R445" t="str">
            <v>A9321</v>
          </cell>
          <cell r="S445" t="str">
            <v>Cavalo mecânico estradeiro 6 x 2, PBT 23.000 kg - 265 kW - Motorista de caminhão</v>
          </cell>
          <cell r="T445">
            <v>450714.63669999997</v>
          </cell>
          <cell r="U445">
            <v>19.316299999999998</v>
          </cell>
          <cell r="V445">
            <v>4.0564</v>
          </cell>
          <cell r="W445">
            <v>3.2193999999999998</v>
          </cell>
          <cell r="X445">
            <v>28.974499999999999</v>
          </cell>
          <cell r="Y445">
            <v>118.7942</v>
          </cell>
          <cell r="Z445">
            <v>24.831199999999999</v>
          </cell>
          <cell r="AA445">
            <v>199.19200000000001</v>
          </cell>
          <cell r="AB445">
            <v>51.423299999999998</v>
          </cell>
          <cell r="AF445" t="str">
            <v>M1316</v>
          </cell>
          <cell r="AG445" t="str">
            <v>Roller bit - TCI button cutter - serie 8 - D = 900 mm</v>
          </cell>
          <cell r="AH445" t="str">
            <v>un</v>
          </cell>
          <cell r="AI445">
            <v>223702.08619999999</v>
          </cell>
        </row>
        <row r="446">
          <cell r="C446" t="str">
            <v>Quantidade</v>
          </cell>
          <cell r="D446" t="str">
            <v>Utilização</v>
          </cell>
          <cell r="F446" t="str">
            <v>Custo Horário</v>
          </cell>
          <cell r="I446" t="str">
            <v>Custo</v>
          </cell>
          <cell r="R446" t="str">
            <v>A9354</v>
          </cell>
          <cell r="S446" t="str">
            <v>Semirreboque com 3 eixos</v>
          </cell>
          <cell r="T446">
            <v>182546</v>
          </cell>
          <cell r="U446">
            <v>12.169700000000001</v>
          </cell>
          <cell r="V446">
            <v>3.1147</v>
          </cell>
          <cell r="W446">
            <v>0</v>
          </cell>
          <cell r="X446">
            <v>13.691000000000001</v>
          </cell>
          <cell r="Y446">
            <v>0</v>
          </cell>
          <cell r="Z446">
            <v>0</v>
          </cell>
          <cell r="AA446">
            <v>28.9754</v>
          </cell>
          <cell r="AB446">
            <v>15.2844</v>
          </cell>
          <cell r="AF446" t="str">
            <v>M1317</v>
          </cell>
          <cell r="AG446" t="str">
            <v>Roller bit - TCI button cutter - serie 8 - D = 1.000 mm</v>
          </cell>
          <cell r="AH446" t="str">
            <v>un</v>
          </cell>
          <cell r="AI446">
            <v>247896.35339999999</v>
          </cell>
        </row>
        <row r="447">
          <cell r="D447" t="str">
            <v>Operativa</v>
          </cell>
          <cell r="E447" t="str">
            <v>Improdutiva</v>
          </cell>
          <cell r="F447" t="str">
            <v>Produtivo</v>
          </cell>
          <cell r="G447" t="str">
            <v>Improdutivo</v>
          </cell>
          <cell r="I447" t="str">
            <v>Horário Total</v>
          </cell>
          <cell r="R447" t="str">
            <v>E9667</v>
          </cell>
          <cell r="S447" t="str">
            <v>Caminhão basculante com capacidade de 14 m³ - 188 kW</v>
          </cell>
          <cell r="T447">
            <v>0</v>
          </cell>
          <cell r="U447">
            <v>0</v>
          </cell>
          <cell r="V447">
            <v>0</v>
          </cell>
          <cell r="W447">
            <v>0</v>
          </cell>
          <cell r="X447">
            <v>0</v>
          </cell>
          <cell r="Y447">
            <v>0</v>
          </cell>
          <cell r="Z447">
            <v>0</v>
          </cell>
          <cell r="AA447">
            <v>162.07060000000001</v>
          </cell>
          <cell r="AB447">
            <v>52.725200000000001</v>
          </cell>
          <cell r="AF447" t="str">
            <v>M1318</v>
          </cell>
          <cell r="AG447" t="str">
            <v>Roller bit - TCI button cutter - serie 8 - D = 1.100 mm</v>
          </cell>
          <cell r="AH447" t="str">
            <v>un</v>
          </cell>
          <cell r="AI447">
            <v>273007.61660000001</v>
          </cell>
        </row>
        <row r="448">
          <cell r="C448">
            <v>1</v>
          </cell>
          <cell r="D448">
            <v>0.5</v>
          </cell>
          <cell r="E448">
            <v>0.5</v>
          </cell>
          <cell r="F448">
            <v>87.298900000000003</v>
          </cell>
          <cell r="G448">
            <v>37.209699999999998</v>
          </cell>
          <cell r="I448">
            <v>62.254300000000001</v>
          </cell>
          <cell r="R448" t="str">
            <v>A9317</v>
          </cell>
          <cell r="S448" t="str">
            <v>Caminhão plataforma 8 x 2, PBT 29.000 kg e distância entre eixos 4,8 m - 188 kW - Motorista de veículo especial</v>
          </cell>
          <cell r="T448">
            <v>331936.23680000001</v>
          </cell>
          <cell r="U448">
            <v>14.2258</v>
          </cell>
          <cell r="V448">
            <v>2.9874000000000001</v>
          </cell>
          <cell r="W448">
            <v>2.371</v>
          </cell>
          <cell r="X448">
            <v>21.338799999999999</v>
          </cell>
          <cell r="Y448">
            <v>84.276600000000002</v>
          </cell>
          <cell r="Z448">
            <v>29.414200000000001</v>
          </cell>
          <cell r="AA448">
            <v>154.6138</v>
          </cell>
          <cell r="AB448">
            <v>48.998399999999997</v>
          </cell>
          <cell r="AF448" t="str">
            <v>M1319</v>
          </cell>
          <cell r="AG448" t="str">
            <v>Roller bit - TCI button cutter - serie 8 - D = 1.200 mm</v>
          </cell>
          <cell r="AH448" t="str">
            <v>un</v>
          </cell>
          <cell r="AI448">
            <v>277455.42849999998</v>
          </cell>
        </row>
        <row r="449">
          <cell r="G449" t="str">
            <v>Custo horário total de equipamentos</v>
          </cell>
          <cell r="I449">
            <v>62.254300000000001</v>
          </cell>
          <cell r="R449" t="str">
            <v>A9344</v>
          </cell>
          <cell r="S449" t="str">
            <v>Caçamba basculante com capacidade de 14 m³</v>
          </cell>
          <cell r="T449">
            <v>43931.4</v>
          </cell>
          <cell r="U449">
            <v>3.3155999999999999</v>
          </cell>
          <cell r="V449">
            <v>0.41120000000000001</v>
          </cell>
          <cell r="W449">
            <v>0</v>
          </cell>
          <cell r="X449">
            <v>3.73</v>
          </cell>
          <cell r="Y449">
            <v>0</v>
          </cell>
          <cell r="Z449">
            <v>0</v>
          </cell>
          <cell r="AA449">
            <v>7.4568000000000003</v>
          </cell>
          <cell r="AB449">
            <v>3.7267999999999999</v>
          </cell>
          <cell r="AF449" t="str">
            <v>M1320</v>
          </cell>
          <cell r="AG449" t="str">
            <v>Roller bit - TCI button cutter - serie 13 - D = 1.300 mm</v>
          </cell>
          <cell r="AH449" t="str">
            <v>un</v>
          </cell>
          <cell r="AI449">
            <v>297633.29830000002</v>
          </cell>
        </row>
        <row r="450">
          <cell r="C450" t="str">
            <v>Quantidade</v>
          </cell>
          <cell r="D450" t="str">
            <v>Unidade</v>
          </cell>
          <cell r="E450" t="str">
            <v>Custo Horário</v>
          </cell>
          <cell r="G450" t="str">
            <v>Custo Horário Total</v>
          </cell>
          <cell r="R450" t="str">
            <v>E9669</v>
          </cell>
          <cell r="S450" t="str">
            <v>Caminhão tanque com capacidade de 8.000 l - 136 kW</v>
          </cell>
          <cell r="T450">
            <v>0</v>
          </cell>
          <cell r="U450">
            <v>0</v>
          </cell>
          <cell r="V450">
            <v>0</v>
          </cell>
          <cell r="W450">
            <v>0</v>
          </cell>
          <cell r="X450">
            <v>0</v>
          </cell>
          <cell r="Y450">
            <v>0</v>
          </cell>
          <cell r="Z450">
            <v>0</v>
          </cell>
          <cell r="AA450">
            <v>154.42250000000001</v>
          </cell>
          <cell r="AB450">
            <v>47.755400000000002</v>
          </cell>
          <cell r="AF450" t="str">
            <v>M1321</v>
          </cell>
          <cell r="AG450" t="str">
            <v>Roller bit - TCI button cutter - serie 13 - D = 1.400 mm</v>
          </cell>
          <cell r="AH450" t="str">
            <v>un</v>
          </cell>
          <cell r="AI450">
            <v>303750.84419999999</v>
          </cell>
        </row>
        <row r="451">
          <cell r="C451">
            <v>4</v>
          </cell>
          <cell r="D451" t="str">
            <v>h</v>
          </cell>
          <cell r="F451">
            <v>19.378599999999999</v>
          </cell>
          <cell r="I451">
            <v>77.514399999999995</v>
          </cell>
          <cell r="R451" t="str">
            <v>A9331</v>
          </cell>
          <cell r="S451" t="str">
            <v>Caminhão plataforma 4 x 2, PBT 17.100 kg e distância entre eixos 4,8 m - 136 kW - Motorista de caminhão</v>
          </cell>
          <cell r="T451">
            <v>302801.03139999998</v>
          </cell>
          <cell r="U451">
            <v>12.9772</v>
          </cell>
          <cell r="V451">
            <v>2.7252000000000001</v>
          </cell>
          <cell r="W451">
            <v>2.1629</v>
          </cell>
          <cell r="X451">
            <v>19.465800000000002</v>
          </cell>
          <cell r="Y451">
            <v>82.739699999999999</v>
          </cell>
          <cell r="Z451">
            <v>24.831199999999999</v>
          </cell>
          <cell r="AA451">
            <v>144.90199999999999</v>
          </cell>
          <cell r="AB451">
            <v>42.6965</v>
          </cell>
          <cell r="AF451" t="str">
            <v>M1322</v>
          </cell>
          <cell r="AG451" t="str">
            <v>Roller bit - TCI button cutter - serie 13 - D = 1.500 mm</v>
          </cell>
          <cell r="AH451" t="str">
            <v>un</v>
          </cell>
          <cell r="AI451">
            <v>323904.25160000002</v>
          </cell>
        </row>
        <row r="452">
          <cell r="C452" t="str">
            <v>Custo horário total de mão de obra</v>
          </cell>
          <cell r="H452">
            <v>77.514399999999995</v>
          </cell>
          <cell r="R452" t="str">
            <v>A9359</v>
          </cell>
          <cell r="S452" t="str">
            <v>Tanque para transporte de água com capacidade de 8.000 l</v>
          </cell>
          <cell r="T452">
            <v>64693.5</v>
          </cell>
          <cell r="U452">
            <v>4.4615999999999998</v>
          </cell>
          <cell r="V452">
            <v>0.59730000000000005</v>
          </cell>
          <cell r="W452">
            <v>0</v>
          </cell>
          <cell r="X452">
            <v>4.4615999999999998</v>
          </cell>
          <cell r="Y452">
            <v>0</v>
          </cell>
          <cell r="Z452">
            <v>0</v>
          </cell>
          <cell r="AA452">
            <v>9.5205000000000002</v>
          </cell>
          <cell r="AB452">
            <v>5.0589000000000004</v>
          </cell>
          <cell r="AF452" t="str">
            <v>M1323</v>
          </cell>
          <cell r="AG452" t="str">
            <v>Roller bit - TCI button cutter - serie 13 - D = 1.600 mm</v>
          </cell>
          <cell r="AH452" t="str">
            <v>un</v>
          </cell>
          <cell r="AI452">
            <v>371200.2268</v>
          </cell>
        </row>
        <row r="453">
          <cell r="C453" t="str">
            <v>Custo horário total de execução</v>
          </cell>
          <cell r="I453">
            <v>139.7687</v>
          </cell>
          <cell r="R453" t="str">
            <v>E9670</v>
          </cell>
          <cell r="S453" t="str">
            <v>Usina móvel para microrrevestimento com cavalo mecânico com capacidade de 12 m³ - 86 kW/240 kW</v>
          </cell>
          <cell r="T453">
            <v>0</v>
          </cell>
          <cell r="U453">
            <v>0</v>
          </cell>
          <cell r="V453">
            <v>0</v>
          </cell>
          <cell r="W453">
            <v>0</v>
          </cell>
          <cell r="X453">
            <v>0</v>
          </cell>
          <cell r="Y453">
            <v>0</v>
          </cell>
          <cell r="Z453">
            <v>0</v>
          </cell>
          <cell r="AA453">
            <v>433.6345</v>
          </cell>
          <cell r="AB453">
            <v>153.85040000000001</v>
          </cell>
          <cell r="AF453" t="str">
            <v>M1324</v>
          </cell>
          <cell r="AG453" t="str">
            <v>Roller bit - TCI button cutter - serie 13 - D = 1.700 mm</v>
          </cell>
          <cell r="AH453" t="str">
            <v>un</v>
          </cell>
          <cell r="AI453">
            <v>383759.6544</v>
          </cell>
        </row>
        <row r="454">
          <cell r="C454" t="str">
            <v>Custo unitário de execução</v>
          </cell>
          <cell r="I454">
            <v>10.353237037037037</v>
          </cell>
          <cell r="R454" t="str">
            <v>A9319</v>
          </cell>
          <cell r="S454" t="str">
            <v>Cavalo mecânico 4 x 2, PBT 16.000 kg - 240 kW - Motorista de veículo especial</v>
          </cell>
          <cell r="T454">
            <v>376723.68040000001</v>
          </cell>
          <cell r="U454">
            <v>16.145299999999999</v>
          </cell>
          <cell r="V454">
            <v>3.3904999999999998</v>
          </cell>
          <cell r="W454">
            <v>2.6909000000000001</v>
          </cell>
          <cell r="X454">
            <v>24.218</v>
          </cell>
          <cell r="Y454">
            <v>146.0112</v>
          </cell>
          <cell r="Z454">
            <v>29.414200000000001</v>
          </cell>
          <cell r="AA454">
            <v>221.87010000000001</v>
          </cell>
          <cell r="AB454">
            <v>51.640900000000002</v>
          </cell>
          <cell r="AF454" t="str">
            <v>M1325</v>
          </cell>
          <cell r="AG454" t="str">
            <v>Roller bit - TCI button cutter - serie 13 - D = 1.800 mm</v>
          </cell>
          <cell r="AH454" t="str">
            <v>un</v>
          </cell>
          <cell r="AI454">
            <v>413604.06280000001</v>
          </cell>
        </row>
        <row r="455">
          <cell r="G455" t="str">
            <v>Custo do FIC</v>
          </cell>
          <cell r="I455" t="str">
            <v>-</v>
          </cell>
          <cell r="R455" t="str">
            <v>A9367</v>
          </cell>
          <cell r="S455" t="str">
            <v>Usina de microrrevestimento asfáltico rebocável com capacidade de 12 m³ - 81 kW</v>
          </cell>
          <cell r="T455">
            <v>897282.88729999994</v>
          </cell>
          <cell r="U455">
            <v>57.682499999999997</v>
          </cell>
          <cell r="V455">
            <v>9.0850000000000009</v>
          </cell>
          <cell r="W455">
            <v>0</v>
          </cell>
          <cell r="X455">
            <v>57.682499999999997</v>
          </cell>
          <cell r="Y455">
            <v>51.872399999999999</v>
          </cell>
          <cell r="Z455">
            <v>35.442</v>
          </cell>
          <cell r="AA455">
            <v>211.76439999999999</v>
          </cell>
          <cell r="AB455">
            <v>102.20950000000001</v>
          </cell>
          <cell r="AF455" t="str">
            <v>M1328</v>
          </cell>
          <cell r="AG455" t="str">
            <v>Ripa de 4 x 1,5 cm</v>
          </cell>
          <cell r="AH455" t="str">
            <v>m</v>
          </cell>
          <cell r="AI455">
            <v>2.6766999999999999</v>
          </cell>
        </row>
        <row r="456">
          <cell r="G456" t="str">
            <v>Custo do FIT</v>
          </cell>
          <cell r="I456" t="str">
            <v>-</v>
          </cell>
          <cell r="R456" t="str">
            <v>E9672</v>
          </cell>
          <cell r="S456" t="str">
            <v>Caminhão basculante para rocha com capacidade de 12 m³ - 188 kW</v>
          </cell>
          <cell r="T456">
            <v>0</v>
          </cell>
          <cell r="U456">
            <v>0</v>
          </cell>
          <cell r="V456">
            <v>0</v>
          </cell>
          <cell r="W456">
            <v>0</v>
          </cell>
          <cell r="X456">
            <v>0</v>
          </cell>
          <cell r="Y456">
            <v>0</v>
          </cell>
          <cell r="Z456">
            <v>0</v>
          </cell>
          <cell r="AA456">
            <v>168.57409999999999</v>
          </cell>
          <cell r="AB456">
            <v>55.975499999999997</v>
          </cell>
          <cell r="AF456" t="str">
            <v>M1337</v>
          </cell>
          <cell r="AG456" t="str">
            <v>Série de brocas S-11 - D = 22 mm</v>
          </cell>
          <cell r="AH456" t="str">
            <v>un</v>
          </cell>
          <cell r="AI456">
            <v>429.86630000000002</v>
          </cell>
        </row>
        <row r="457">
          <cell r="C457" t="str">
            <v>Quantidade</v>
          </cell>
          <cell r="D457" t="str">
            <v>Unidade</v>
          </cell>
          <cell r="E457" t="str">
            <v>Preço Unitário</v>
          </cell>
          <cell r="G457" t="str">
            <v>Custo Unitário</v>
          </cell>
          <cell r="R457" t="str">
            <v>A9317</v>
          </cell>
          <cell r="S457" t="str">
            <v>Caminhão plataforma 8 x 2, PBT 29.000 kg e distância entre eixos 4,8 m - 188 kW - Motorista de veículo especial</v>
          </cell>
          <cell r="T457">
            <v>331936.23680000001</v>
          </cell>
          <cell r="U457">
            <v>14.2258</v>
          </cell>
          <cell r="V457">
            <v>2.9874000000000001</v>
          </cell>
          <cell r="W457">
            <v>2.371</v>
          </cell>
          <cell r="X457">
            <v>21.338799999999999</v>
          </cell>
          <cell r="Y457">
            <v>84.276600000000002</v>
          </cell>
          <cell r="Z457">
            <v>29.414200000000001</v>
          </cell>
          <cell r="AA457">
            <v>154.6138</v>
          </cell>
          <cell r="AB457">
            <v>48.998399999999997</v>
          </cell>
          <cell r="AF457" t="str">
            <v>M1341</v>
          </cell>
          <cell r="AG457" t="str">
            <v>Parafuso de aço galvanizado sextavado de 5/8 x 4"</v>
          </cell>
          <cell r="AH457" t="str">
            <v>un</v>
          </cell>
          <cell r="AI457">
            <v>4.8449</v>
          </cell>
        </row>
        <row r="458">
          <cell r="C458">
            <v>0.25</v>
          </cell>
          <cell r="D458" t="str">
            <v>un</v>
          </cell>
          <cell r="F458">
            <v>866.94399999999996</v>
          </cell>
          <cell r="I458">
            <v>216.73599999999999</v>
          </cell>
          <cell r="R458" t="str">
            <v>A9343</v>
          </cell>
          <cell r="S458" t="str">
            <v>Caçamba basculante para rocha com capacidade de 12 m³</v>
          </cell>
          <cell r="T458">
            <v>82246</v>
          </cell>
          <cell r="U458">
            <v>6.2072000000000003</v>
          </cell>
          <cell r="V458">
            <v>0.76990000000000003</v>
          </cell>
          <cell r="W458">
            <v>0</v>
          </cell>
          <cell r="X458">
            <v>6.9832000000000001</v>
          </cell>
          <cell r="Y458">
            <v>0</v>
          </cell>
          <cell r="Z458">
            <v>0</v>
          </cell>
          <cell r="AA458">
            <v>13.9603</v>
          </cell>
          <cell r="AB458">
            <v>6.9771000000000001</v>
          </cell>
          <cell r="AF458" t="str">
            <v>M1349</v>
          </cell>
          <cell r="AG458" t="str">
            <v>Tacha refletiva metálica monodirecional com dois pinos</v>
          </cell>
          <cell r="AH458" t="str">
            <v>un</v>
          </cell>
          <cell r="AI458">
            <v>19.736000000000001</v>
          </cell>
        </row>
        <row r="459">
          <cell r="C459" t="str">
            <v>Custo unitário total de material</v>
          </cell>
          <cell r="I459">
            <v>216.73599999999999</v>
          </cell>
          <cell r="R459" t="str">
            <v>E9679</v>
          </cell>
          <cell r="S459" t="str">
            <v>Cavalo mecânico com reboque de 6 eixos com capacidade de 207 t - 440 kW</v>
          </cell>
          <cell r="T459">
            <v>0</v>
          </cell>
          <cell r="U459">
            <v>0</v>
          </cell>
          <cell r="V459">
            <v>0</v>
          </cell>
          <cell r="W459">
            <v>0</v>
          </cell>
          <cell r="X459">
            <v>0</v>
          </cell>
          <cell r="Y459">
            <v>0</v>
          </cell>
          <cell r="Z459">
            <v>0</v>
          </cell>
          <cell r="AA459">
            <v>656.06579999999997</v>
          </cell>
          <cell r="AB459">
            <v>239.83609999999999</v>
          </cell>
          <cell r="AF459" t="str">
            <v>M1350</v>
          </cell>
          <cell r="AG459" t="str">
            <v>Árvore ornamental de porte de 200 a 300 cm</v>
          </cell>
          <cell r="AH459" t="str">
            <v>un</v>
          </cell>
          <cell r="AI459">
            <v>107.9061</v>
          </cell>
        </row>
        <row r="460">
          <cell r="C460" t="str">
            <v>Quantidade</v>
          </cell>
          <cell r="D460" t="str">
            <v>Unidade</v>
          </cell>
          <cell r="E460" t="str">
            <v>Custo Unitário</v>
          </cell>
          <cell r="G460" t="str">
            <v>Custo Unitário</v>
          </cell>
          <cell r="R460" t="str">
            <v>A9325</v>
          </cell>
          <cell r="S460" t="str">
            <v>Cavalo mecânico 8 x 8, PBT 26.000 kg - 440 kW - Motorista de veículo especial</v>
          </cell>
          <cell r="T460">
            <v>2667041.1310000001</v>
          </cell>
          <cell r="U460">
            <v>114.3018</v>
          </cell>
          <cell r="V460">
            <v>24.003399999999999</v>
          </cell>
          <cell r="W460">
            <v>19.0503</v>
          </cell>
          <cell r="X460">
            <v>171.45259999999999</v>
          </cell>
          <cell r="Y460">
            <v>197.2432</v>
          </cell>
          <cell r="Z460">
            <v>29.414200000000001</v>
          </cell>
          <cell r="AA460">
            <v>555.46550000000002</v>
          </cell>
          <cell r="AB460">
            <v>186.7697</v>
          </cell>
          <cell r="AF460" t="str">
            <v>M1351</v>
          </cell>
          <cell r="AG460" t="str">
            <v>Árvore ornamental de porte de 100 a 200 cm</v>
          </cell>
          <cell r="AH460" t="str">
            <v>un</v>
          </cell>
          <cell r="AI460">
            <v>75.067700000000002</v>
          </cell>
        </row>
        <row r="461">
          <cell r="C461" t="str">
            <v>Custo total de atividades auxiliares</v>
          </cell>
          <cell r="R461" t="str">
            <v>A9356</v>
          </cell>
          <cell r="S461" t="str">
            <v>Reboque com capacidade de 400 t e 6 eixos</v>
          </cell>
          <cell r="T461">
            <v>633785.67000000004</v>
          </cell>
          <cell r="U461">
            <v>42.252400000000002</v>
          </cell>
          <cell r="V461">
            <v>10.814</v>
          </cell>
          <cell r="W461">
            <v>0</v>
          </cell>
          <cell r="X461">
            <v>47.533900000000003</v>
          </cell>
          <cell r="Y461">
            <v>0</v>
          </cell>
          <cell r="Z461">
            <v>0</v>
          </cell>
          <cell r="AA461">
            <v>100.6003</v>
          </cell>
          <cell r="AB461">
            <v>53.066400000000002</v>
          </cell>
          <cell r="AF461" t="str">
            <v>M1356</v>
          </cell>
          <cell r="AG461" t="str">
            <v>Árvore ornamental de porte de até 100 cm</v>
          </cell>
          <cell r="AH461" t="str">
            <v>un</v>
          </cell>
          <cell r="AI461">
            <v>40.847799999999999</v>
          </cell>
        </row>
        <row r="462">
          <cell r="G462" t="str">
            <v>Subtotal</v>
          </cell>
          <cell r="R462" t="str">
            <v>E9680</v>
          </cell>
          <cell r="S462" t="str">
            <v>Caminhão tanque com capacidade de 13.000 l - 188 kW</v>
          </cell>
          <cell r="T462">
            <v>0</v>
          </cell>
          <cell r="U462">
            <v>0</v>
          </cell>
          <cell r="V462">
            <v>0</v>
          </cell>
          <cell r="W462">
            <v>0</v>
          </cell>
          <cell r="X462">
            <v>0</v>
          </cell>
          <cell r="Y462">
            <v>0</v>
          </cell>
          <cell r="Z462">
            <v>0</v>
          </cell>
          <cell r="AA462">
            <v>194.27289999999999</v>
          </cell>
          <cell r="AB462">
            <v>51.737299999999998</v>
          </cell>
          <cell r="AF462" t="str">
            <v>M1358</v>
          </cell>
          <cell r="AG462" t="str">
            <v>Sarrafo em madeira de terceira de 2,5 x 5 cm</v>
          </cell>
          <cell r="AH462" t="str">
            <v>m</v>
          </cell>
          <cell r="AI462">
            <v>1.33</v>
          </cell>
        </row>
        <row r="463">
          <cell r="C463" t="str">
            <v>Código</v>
          </cell>
          <cell r="D463" t="str">
            <v>Quantidade</v>
          </cell>
          <cell r="E463" t="str">
            <v>Unidade</v>
          </cell>
          <cell r="F463" t="str">
            <v>Custo Unitário</v>
          </cell>
          <cell r="H463" t="str">
            <v>Custo Unitário</v>
          </cell>
          <cell r="R463" t="str">
            <v>A9332</v>
          </cell>
          <cell r="S463" t="str">
            <v>Caminhão plataforma 6 x 2, PBT 24.100 kg e distância entre eixos 4,8 m - 188 kW - Motorista de veículo especial</v>
          </cell>
          <cell r="T463">
            <v>361650.57919999998</v>
          </cell>
          <cell r="U463">
            <v>15.4993</v>
          </cell>
          <cell r="V463">
            <v>3.2549000000000001</v>
          </cell>
          <cell r="W463">
            <v>2.5832000000000002</v>
          </cell>
          <cell r="X463">
            <v>23.248999999999999</v>
          </cell>
          <cell r="Y463">
            <v>114.3754</v>
          </cell>
          <cell r="Z463">
            <v>24.831199999999999</v>
          </cell>
          <cell r="AA463">
            <v>183.79300000000001</v>
          </cell>
          <cell r="AB463">
            <v>46.168599999999998</v>
          </cell>
          <cell r="AF463" t="str">
            <v>M1359</v>
          </cell>
          <cell r="AG463" t="str">
            <v>Árvore frutífera de porte de 200 a 300 cm</v>
          </cell>
          <cell r="AH463" t="str">
            <v>un</v>
          </cell>
          <cell r="AI463">
            <v>154.54050000000001</v>
          </cell>
        </row>
        <row r="464">
          <cell r="C464">
            <v>5915474</v>
          </cell>
          <cell r="D464">
            <v>1.9359999999999999E-2</v>
          </cell>
          <cell r="E464" t="str">
            <v>t</v>
          </cell>
          <cell r="G464">
            <v>17.66</v>
          </cell>
          <cell r="I464">
            <v>0.34189759999999997</v>
          </cell>
          <cell r="R464" t="str">
            <v>A9361</v>
          </cell>
          <cell r="S464" t="str">
            <v>Tanque para transporte de água com capacidade de 13.000 l</v>
          </cell>
          <cell r="T464">
            <v>71213</v>
          </cell>
          <cell r="U464">
            <v>4.9112</v>
          </cell>
          <cell r="V464">
            <v>0.65749999999999997</v>
          </cell>
          <cell r="W464">
            <v>0</v>
          </cell>
          <cell r="X464">
            <v>4.9112</v>
          </cell>
          <cell r="Y464">
            <v>0</v>
          </cell>
          <cell r="Z464">
            <v>0</v>
          </cell>
          <cell r="AA464">
            <v>10.479900000000001</v>
          </cell>
          <cell r="AB464">
            <v>5.5686999999999998</v>
          </cell>
          <cell r="AF464" t="str">
            <v>M1360</v>
          </cell>
          <cell r="AG464" t="str">
            <v>Árvore frutífera de porte de 100 a 200 cm</v>
          </cell>
          <cell r="AH464" t="str">
            <v>un</v>
          </cell>
          <cell r="AI464">
            <v>89.163899999999998</v>
          </cell>
        </row>
        <row r="465">
          <cell r="C465" t="str">
            <v>Custo unitário total de tempo fixo</v>
          </cell>
          <cell r="I465">
            <v>0.34189759999999997</v>
          </cell>
          <cell r="R465" t="str">
            <v>E9686</v>
          </cell>
          <cell r="S465" t="str">
            <v>Caminhão carroceria com guindauto com capacidade de 20 t.m - 136 kW</v>
          </cell>
          <cell r="T465">
            <v>0</v>
          </cell>
          <cell r="U465">
            <v>0</v>
          </cell>
          <cell r="V465">
            <v>0</v>
          </cell>
          <cell r="W465">
            <v>0</v>
          </cell>
          <cell r="X465">
            <v>0</v>
          </cell>
          <cell r="Y465">
            <v>0</v>
          </cell>
          <cell r="Z465">
            <v>0</v>
          </cell>
          <cell r="AA465">
            <v>187.3921</v>
          </cell>
          <cell r="AB465">
            <v>77.563800000000001</v>
          </cell>
          <cell r="AF465" t="str">
            <v>M1361</v>
          </cell>
          <cell r="AG465" t="str">
            <v>Árvore frutífera de porte de até 100 cm</v>
          </cell>
          <cell r="AH465" t="str">
            <v>un</v>
          </cell>
          <cell r="AI465">
            <v>56.537700000000001</v>
          </cell>
        </row>
        <row r="466">
          <cell r="C466" t="str">
            <v>Quantidade</v>
          </cell>
          <cell r="D466" t="str">
            <v>Unidade</v>
          </cell>
          <cell r="E466" t="str">
            <v>DMT</v>
          </cell>
          <cell r="I466" t="str">
            <v>Custo Unitário</v>
          </cell>
          <cell r="R466" t="str">
            <v>A9308</v>
          </cell>
          <cell r="S466" t="str">
            <v>Caminhão plataforma 4 x 2, PBT 17.100 kg e distância entre eixos 4,8 m - 136 kW - Motorista de veículo especial</v>
          </cell>
          <cell r="T466">
            <v>302801.03139999998</v>
          </cell>
          <cell r="U466">
            <v>12.9772</v>
          </cell>
          <cell r="V466">
            <v>2.7252000000000001</v>
          </cell>
          <cell r="W466">
            <v>2.1629</v>
          </cell>
          <cell r="X466">
            <v>19.465800000000002</v>
          </cell>
          <cell r="Y466">
            <v>82.739699999999999</v>
          </cell>
          <cell r="Z466">
            <v>29.414200000000001</v>
          </cell>
          <cell r="AA466">
            <v>149.48500000000001</v>
          </cell>
          <cell r="AB466">
            <v>47.279499999999999</v>
          </cell>
          <cell r="AF466" t="str">
            <v>M1362</v>
          </cell>
          <cell r="AG466" t="str">
            <v>Tapete de floríferas de porte até 50 cm</v>
          </cell>
          <cell r="AH466" t="str">
            <v>m²</v>
          </cell>
          <cell r="AI466">
            <v>30.350100000000001</v>
          </cell>
        </row>
        <row r="467">
          <cell r="E467" t="str">
            <v>LN</v>
          </cell>
          <cell r="F467" t="str">
            <v>RP</v>
          </cell>
          <cell r="G467" t="str">
            <v>P</v>
          </cell>
          <cell r="R467" t="str">
            <v>A9349</v>
          </cell>
          <cell r="S467" t="str">
            <v>Carroceria de madeira com capacidade de 7 t</v>
          </cell>
          <cell r="T467">
            <v>16248.6</v>
          </cell>
          <cell r="U467">
            <v>1.1206</v>
          </cell>
          <cell r="V467">
            <v>0.15</v>
          </cell>
          <cell r="W467">
            <v>0</v>
          </cell>
          <cell r="X467">
            <v>1.1206</v>
          </cell>
          <cell r="Y467">
            <v>0</v>
          </cell>
          <cell r="Z467">
            <v>0</v>
          </cell>
          <cell r="AA467">
            <v>2.3912</v>
          </cell>
          <cell r="AB467">
            <v>1.2706</v>
          </cell>
          <cell r="AF467" t="str">
            <v>M1364</v>
          </cell>
          <cell r="AG467" t="str">
            <v>Herbicida glifosato</v>
          </cell>
          <cell r="AH467" t="str">
            <v>l</v>
          </cell>
          <cell r="AI467">
            <v>20.684699999999999</v>
          </cell>
        </row>
        <row r="468">
          <cell r="C468">
            <v>1.9359999999999999E-2</v>
          </cell>
          <cell r="D468" t="str">
            <v>tkm</v>
          </cell>
          <cell r="E468">
            <v>5915322</v>
          </cell>
          <cell r="F468">
            <v>5915323</v>
          </cell>
          <cell r="G468">
            <v>5915324</v>
          </cell>
          <cell r="R468" t="str">
            <v>A9372</v>
          </cell>
          <cell r="S468" t="str">
            <v>Guindaste articulado montado sobre chassi com capacidade de 20 t.m</v>
          </cell>
          <cell r="T468">
            <v>94282</v>
          </cell>
          <cell r="U468">
            <v>6.5022000000000002</v>
          </cell>
          <cell r="V468">
            <v>0.87050000000000005</v>
          </cell>
          <cell r="W468">
            <v>0</v>
          </cell>
          <cell r="X468">
            <v>6.5022000000000002</v>
          </cell>
          <cell r="Y468">
            <v>0</v>
          </cell>
          <cell r="Z468">
            <v>21.640999999999998</v>
          </cell>
          <cell r="AA468">
            <v>35.515900000000002</v>
          </cell>
          <cell r="AB468">
            <v>29.0137</v>
          </cell>
          <cell r="AF468" t="str">
            <v>M1366</v>
          </cell>
          <cell r="AG468" t="str">
            <v>Desengraxante</v>
          </cell>
          <cell r="AH468" t="str">
            <v>l</v>
          </cell>
          <cell r="AI468">
            <v>16.535900000000002</v>
          </cell>
        </row>
        <row r="469">
          <cell r="C469" t="str">
            <v>Custo unitário total de transporte</v>
          </cell>
          <cell r="R469" t="str">
            <v>E9687</v>
          </cell>
          <cell r="S469" t="str">
            <v>Caminhão carroceria com capacidade de 5 t - 115 kW</v>
          </cell>
          <cell r="T469">
            <v>0</v>
          </cell>
          <cell r="U469">
            <v>0</v>
          </cell>
          <cell r="V469">
            <v>0</v>
          </cell>
          <cell r="W469">
            <v>0</v>
          </cell>
          <cell r="X469">
            <v>0</v>
          </cell>
          <cell r="Y469">
            <v>0</v>
          </cell>
          <cell r="Z469">
            <v>0</v>
          </cell>
          <cell r="AA469">
            <v>87.298900000000003</v>
          </cell>
          <cell r="AB469">
            <v>37.209699999999998</v>
          </cell>
          <cell r="AF469" t="str">
            <v>M1367</v>
          </cell>
          <cell r="AG469" t="str">
            <v>Chapa de aço galvanizado</v>
          </cell>
          <cell r="AH469" t="str">
            <v>kg</v>
          </cell>
          <cell r="AI469">
            <v>7.0171999999999999</v>
          </cell>
        </row>
        <row r="470">
          <cell r="C470">
            <v>4915721</v>
          </cell>
          <cell r="D470" t="str">
            <v>m</v>
          </cell>
          <cell r="E470" t="str">
            <v>Custo unitário direto total</v>
          </cell>
          <cell r="I470">
            <v>227.43113463703705</v>
          </cell>
          <cell r="R470" t="str">
            <v>A9303</v>
          </cell>
          <cell r="S470" t="str">
            <v>Caminhão plataforma 4 x 2, PBT 9.600 kg e distância entre eixos 3,7 m - 115 kW - Motorista de caminhão</v>
          </cell>
          <cell r="T470">
            <v>191746.09359999999</v>
          </cell>
          <cell r="U470">
            <v>8.2177000000000007</v>
          </cell>
          <cell r="V470">
            <v>1.7257</v>
          </cell>
          <cell r="W470">
            <v>1.3695999999999999</v>
          </cell>
          <cell r="X470">
            <v>12.326499999999999</v>
          </cell>
          <cell r="Y470">
            <v>36.823</v>
          </cell>
          <cell r="Z470">
            <v>24.831199999999999</v>
          </cell>
          <cell r="AA470">
            <v>85.293700000000001</v>
          </cell>
          <cell r="AB470">
            <v>36.144199999999998</v>
          </cell>
          <cell r="AF470" t="str">
            <v>M1368</v>
          </cell>
          <cell r="AG470" t="str">
            <v>Pingadeira de elastômero com aba inclinada e perfil 40 x 40 mm</v>
          </cell>
          <cell r="AH470" t="str">
            <v>m</v>
          </cell>
          <cell r="AI470">
            <v>165.25579999999999</v>
          </cell>
        </row>
        <row r="471">
          <cell r="R471" t="str">
            <v>A9348</v>
          </cell>
          <cell r="S471" t="str">
            <v>Carroceria de madeira com capacidade de 5 t</v>
          </cell>
          <cell r="T471">
            <v>13625.754999999999</v>
          </cell>
          <cell r="U471">
            <v>0.93969999999999998</v>
          </cell>
          <cell r="V471">
            <v>0.1258</v>
          </cell>
          <cell r="W471">
            <v>0</v>
          </cell>
          <cell r="X471">
            <v>0.93969999999999998</v>
          </cell>
          <cell r="Y471">
            <v>0</v>
          </cell>
          <cell r="Z471">
            <v>0</v>
          </cell>
          <cell r="AA471">
            <v>2.0051999999999999</v>
          </cell>
          <cell r="AB471">
            <v>1.0654999999999999</v>
          </cell>
          <cell r="AF471" t="str">
            <v>M1369</v>
          </cell>
          <cell r="AG471" t="str">
            <v>Selador para pintura acrílica</v>
          </cell>
          <cell r="AH471" t="str">
            <v>l</v>
          </cell>
          <cell r="AI471">
            <v>5.7957000000000001</v>
          </cell>
        </row>
        <row r="472">
          <cell r="R472" t="str">
            <v>E9688</v>
          </cell>
          <cell r="S472" t="str">
            <v>Usina móvel de lama asfáltica montada sobre chassi com capacidade de 5 m³ - 40 kW/188 kW</v>
          </cell>
          <cell r="T472">
            <v>0</v>
          </cell>
          <cell r="U472">
            <v>0</v>
          </cell>
          <cell r="V472">
            <v>0</v>
          </cell>
          <cell r="W472">
            <v>0</v>
          </cell>
          <cell r="X472">
            <v>0</v>
          </cell>
          <cell r="Y472">
            <v>0</v>
          </cell>
          <cell r="Z472">
            <v>0</v>
          </cell>
          <cell r="AA472">
            <v>302.29680000000002</v>
          </cell>
          <cell r="AB472">
            <v>114.5545</v>
          </cell>
          <cell r="AF472" t="str">
            <v>M1370</v>
          </cell>
          <cell r="AG472" t="str">
            <v>Aditivo látex SBR</v>
          </cell>
          <cell r="AH472" t="str">
            <v>l</v>
          </cell>
          <cell r="AI472">
            <v>6.9292999999999996</v>
          </cell>
        </row>
        <row r="473">
          <cell r="I473" t="str">
            <v>DNIT</v>
          </cell>
          <cell r="R473" t="str">
            <v>A9312</v>
          </cell>
          <cell r="S473" t="str">
            <v>Caminhão plataforma 6 x 2, PBT 24.100 kg e distância entre eixos 4,8 m - 188 kW - Motorista de veículo especial</v>
          </cell>
          <cell r="T473">
            <v>361650.57919999998</v>
          </cell>
          <cell r="U473">
            <v>15.4993</v>
          </cell>
          <cell r="V473">
            <v>3.2549000000000001</v>
          </cell>
          <cell r="W473">
            <v>2.5832000000000002</v>
          </cell>
          <cell r="X473">
            <v>23.248999999999999</v>
          </cell>
          <cell r="Y473">
            <v>114.3754</v>
          </cell>
          <cell r="Z473">
            <v>29.414200000000001</v>
          </cell>
          <cell r="AA473">
            <v>188.376</v>
          </cell>
          <cell r="AB473">
            <v>50.751600000000003</v>
          </cell>
          <cell r="AF473" t="str">
            <v>M1377</v>
          </cell>
          <cell r="AG473" t="str">
            <v>Treliça nervurada com 3 barras longitudinais e 2 diagonais sinusoidais</v>
          </cell>
          <cell r="AH473" t="str">
            <v>kg</v>
          </cell>
          <cell r="AI473">
            <v>5.0582000000000003</v>
          </cell>
        </row>
        <row r="474">
          <cell r="R474" t="str">
            <v>A9366</v>
          </cell>
          <cell r="S474" t="str">
            <v>Usina de lama asfáltica montada sobre chassi com capacidade de 5 m³ - 40 kW</v>
          </cell>
          <cell r="T474">
            <v>381140</v>
          </cell>
          <cell r="U474">
            <v>24.501899999999999</v>
          </cell>
          <cell r="V474">
            <v>3.859</v>
          </cell>
          <cell r="W474">
            <v>0</v>
          </cell>
          <cell r="X474">
            <v>24.501899999999999</v>
          </cell>
          <cell r="Y474">
            <v>25.616</v>
          </cell>
          <cell r="Z474">
            <v>35.442</v>
          </cell>
          <cell r="AA474">
            <v>113.9208</v>
          </cell>
          <cell r="AB474">
            <v>63.802900000000001</v>
          </cell>
          <cell r="AF474" t="str">
            <v>M1378</v>
          </cell>
          <cell r="AG474" t="str">
            <v>Chapa de aço ASTM A36</v>
          </cell>
          <cell r="AH474" t="str">
            <v>kg</v>
          </cell>
          <cell r="AI474">
            <v>5.4663000000000004</v>
          </cell>
        </row>
        <row r="475">
          <cell r="D475" t="str">
            <v>Outubro/2019</v>
          </cell>
          <cell r="G475" t="str">
            <v>Produção da equipe</v>
          </cell>
          <cell r="H475">
            <v>2</v>
          </cell>
          <cell r="I475" t="str">
            <v>un</v>
          </cell>
          <cell r="R475" t="str">
            <v>E9690</v>
          </cell>
          <cell r="S475" t="str">
            <v>Caminhão carroceria com guindauto e cesto aéreo com capacidade de 10 t.m - 136 kW</v>
          </cell>
          <cell r="T475">
            <v>0</v>
          </cell>
          <cell r="U475">
            <v>0</v>
          </cell>
          <cell r="V475">
            <v>0</v>
          </cell>
          <cell r="W475">
            <v>0</v>
          </cell>
          <cell r="X475">
            <v>0</v>
          </cell>
          <cell r="Y475">
            <v>0</v>
          </cell>
          <cell r="Z475">
            <v>0</v>
          </cell>
          <cell r="AA475">
            <v>216.0608</v>
          </cell>
          <cell r="AB475">
            <v>102.9391</v>
          </cell>
          <cell r="AF475" t="str">
            <v>M1379</v>
          </cell>
          <cell r="AG475" t="str">
            <v>Argamassa polimérica de alto desempenho</v>
          </cell>
          <cell r="AH475" t="str">
            <v>kg</v>
          </cell>
          <cell r="AI475">
            <v>5.2236000000000002</v>
          </cell>
        </row>
        <row r="476">
          <cell r="H476" t="str">
            <v>Valores em reais (R$)</v>
          </cell>
          <cell r="R476" t="str">
            <v>A9308</v>
          </cell>
          <cell r="S476" t="str">
            <v>Caminhão plataforma 4 x 2, PBT 17.100 kg e distância entre eixos 4,8 m - 136 kW - Motorista de veículo especial</v>
          </cell>
          <cell r="T476">
            <v>302801.03139999998</v>
          </cell>
          <cell r="U476">
            <v>12.9772</v>
          </cell>
          <cell r="V476">
            <v>2.7252000000000001</v>
          </cell>
          <cell r="W476">
            <v>2.1629</v>
          </cell>
          <cell r="X476">
            <v>19.465800000000002</v>
          </cell>
          <cell r="Y476">
            <v>82.739699999999999</v>
          </cell>
          <cell r="Z476">
            <v>29.414200000000001</v>
          </cell>
          <cell r="AA476">
            <v>149.48500000000001</v>
          </cell>
          <cell r="AB476">
            <v>47.279499999999999</v>
          </cell>
          <cell r="AF476" t="str">
            <v>M1382</v>
          </cell>
          <cell r="AG476" t="str">
            <v>Areia grossa lavada</v>
          </cell>
          <cell r="AH476" t="str">
            <v>m³</v>
          </cell>
          <cell r="AI476">
            <v>70.555700000000002</v>
          </cell>
        </row>
        <row r="477">
          <cell r="C477" t="str">
            <v>Quantidade</v>
          </cell>
          <cell r="D477" t="str">
            <v>Utilização</v>
          </cell>
          <cell r="F477" t="str">
            <v>Custo Horário</v>
          </cell>
          <cell r="I477" t="str">
            <v>Custo</v>
          </cell>
          <cell r="R477" t="str">
            <v>A9329</v>
          </cell>
          <cell r="S477" t="str">
            <v>Cesto aéreo simples isolado</v>
          </cell>
          <cell r="T477">
            <v>46138</v>
          </cell>
          <cell r="U477">
            <v>3.1819000000000002</v>
          </cell>
          <cell r="V477">
            <v>0.42599999999999999</v>
          </cell>
          <cell r="W477">
            <v>0</v>
          </cell>
          <cell r="X477">
            <v>3.1819000000000002</v>
          </cell>
          <cell r="Y477">
            <v>0</v>
          </cell>
          <cell r="Z477">
            <v>0</v>
          </cell>
          <cell r="AA477">
            <v>6.7897999999999996</v>
          </cell>
          <cell r="AB477">
            <v>3.6078999999999999</v>
          </cell>
          <cell r="AF477" t="str">
            <v>M1383</v>
          </cell>
          <cell r="AG477" t="str">
            <v>Areia fina lavada</v>
          </cell>
          <cell r="AH477" t="str">
            <v>m³</v>
          </cell>
          <cell r="AI477">
            <v>97.273300000000006</v>
          </cell>
        </row>
        <row r="478">
          <cell r="D478" t="str">
            <v>Operativa</v>
          </cell>
          <cell r="E478" t="str">
            <v>Improdutiva</v>
          </cell>
          <cell r="F478" t="str">
            <v>Produtivo</v>
          </cell>
          <cell r="G478" t="str">
            <v>Improdutivo</v>
          </cell>
          <cell r="I478" t="str">
            <v>Horário Total</v>
          </cell>
          <cell r="R478" t="str">
            <v>A9330</v>
          </cell>
          <cell r="S478" t="str">
            <v>Guindaste articulado montado sobre chassi com capacidade de 10 t.m</v>
          </cell>
          <cell r="T478">
            <v>94272.972999999998</v>
          </cell>
          <cell r="U478">
            <v>6.5015999999999998</v>
          </cell>
          <cell r="V478">
            <v>0.87039999999999995</v>
          </cell>
          <cell r="W478">
            <v>0</v>
          </cell>
          <cell r="X478">
            <v>6.5015999999999998</v>
          </cell>
          <cell r="Y478">
            <v>0</v>
          </cell>
          <cell r="Z478">
            <v>43.281999999999996</v>
          </cell>
          <cell r="AA478">
            <v>57.1556</v>
          </cell>
          <cell r="AB478">
            <v>50.654000000000003</v>
          </cell>
          <cell r="AF478" t="str">
            <v>M1384</v>
          </cell>
          <cell r="AG478" t="str">
            <v>Tubo tremonha de aço</v>
          </cell>
          <cell r="AH478" t="str">
            <v>kg</v>
          </cell>
          <cell r="AI478">
            <v>5.4535</v>
          </cell>
        </row>
        <row r="479">
          <cell r="G479" t="str">
            <v>Custo horário total de equipamentos</v>
          </cell>
          <cell r="R479" t="str">
            <v>A9350</v>
          </cell>
          <cell r="S479" t="str">
            <v>Carroceria de madeira com capacidade de 9 t</v>
          </cell>
          <cell r="T479">
            <v>17873.46</v>
          </cell>
          <cell r="U479">
            <v>1.2326999999999999</v>
          </cell>
          <cell r="V479">
            <v>0.16500000000000001</v>
          </cell>
          <cell r="W479">
            <v>0</v>
          </cell>
          <cell r="X479">
            <v>1.2326999999999999</v>
          </cell>
          <cell r="Y479">
            <v>0</v>
          </cell>
          <cell r="Z479">
            <v>0</v>
          </cell>
          <cell r="AA479">
            <v>2.6303999999999998</v>
          </cell>
          <cell r="AB479">
            <v>1.3976999999999999</v>
          </cell>
          <cell r="AF479" t="str">
            <v>M1385</v>
          </cell>
          <cell r="AG479" t="str">
            <v>Disco diamantado - D = 350 mm</v>
          </cell>
          <cell r="AH479" t="str">
            <v>un</v>
          </cell>
          <cell r="AI479">
            <v>222.06030000000001</v>
          </cell>
        </row>
        <row r="480">
          <cell r="C480" t="str">
            <v>Quantidade</v>
          </cell>
          <cell r="D480" t="str">
            <v>Unidade</v>
          </cell>
          <cell r="E480" t="str">
            <v>Custo Horário</v>
          </cell>
          <cell r="G480" t="str">
            <v>Custo Horário Total</v>
          </cell>
          <cell r="R480" t="str">
            <v>E9693</v>
          </cell>
          <cell r="S480" t="str">
            <v>Caminhão demarcador de faixas com sistema de pintura Spray - 115 kW</v>
          </cell>
          <cell r="T480">
            <v>0</v>
          </cell>
          <cell r="U480">
            <v>0</v>
          </cell>
          <cell r="V480">
            <v>0</v>
          </cell>
          <cell r="W480">
            <v>0</v>
          </cell>
          <cell r="X480">
            <v>0</v>
          </cell>
          <cell r="Y480">
            <v>0</v>
          </cell>
          <cell r="Z480">
            <v>0</v>
          </cell>
          <cell r="AA480">
            <v>570.6626</v>
          </cell>
          <cell r="AB480">
            <v>297.7944</v>
          </cell>
          <cell r="AF480" t="str">
            <v>M1387</v>
          </cell>
          <cell r="AG480" t="str">
            <v>Adesivo estrutural à base de resina epóxi</v>
          </cell>
          <cell r="AH480" t="str">
            <v>kg</v>
          </cell>
          <cell r="AI480">
            <v>42.292999999999999</v>
          </cell>
        </row>
        <row r="481">
          <cell r="C481">
            <v>1</v>
          </cell>
          <cell r="D481" t="str">
            <v>h</v>
          </cell>
          <cell r="F481">
            <v>27.550999999999998</v>
          </cell>
          <cell r="I481">
            <v>27.550999999999998</v>
          </cell>
          <cell r="R481" t="str">
            <v>A9322</v>
          </cell>
          <cell r="S481" t="str">
            <v>Caminhão plataforma 4 x 2, PBT 9.600 kg e distância entre eixos 3,7 m - 115 kW - Motorista de caminhão</v>
          </cell>
          <cell r="T481">
            <v>191746.09359999999</v>
          </cell>
          <cell r="U481">
            <v>8.2177000000000007</v>
          </cell>
          <cell r="V481">
            <v>1.7257</v>
          </cell>
          <cell r="W481">
            <v>1.3695999999999999</v>
          </cell>
          <cell r="X481">
            <v>12.326499999999999</v>
          </cell>
          <cell r="Y481">
            <v>69.963700000000003</v>
          </cell>
          <cell r="Z481">
            <v>24.831199999999999</v>
          </cell>
          <cell r="AA481">
            <v>118.4344</v>
          </cell>
          <cell r="AB481">
            <v>36.144199999999998</v>
          </cell>
          <cell r="AF481" t="str">
            <v>M1388</v>
          </cell>
          <cell r="AG481" t="str">
            <v>Cordoalha para estais CP 177 RB - D = 15,7 mm</v>
          </cell>
          <cell r="AH481" t="str">
            <v>kg</v>
          </cell>
          <cell r="AI481">
            <v>22.396100000000001</v>
          </cell>
        </row>
        <row r="482">
          <cell r="C482">
            <v>2</v>
          </cell>
          <cell r="D482" t="str">
            <v>h</v>
          </cell>
          <cell r="F482">
            <v>19.378599999999999</v>
          </cell>
          <cell r="I482">
            <v>38.757199999999997</v>
          </cell>
          <cell r="R482" t="str">
            <v>A9370</v>
          </cell>
          <cell r="S482" t="str">
            <v>Equipamento demarcador de faixas sistema spray montado sobre chassi com capacidade 1.080 l</v>
          </cell>
          <cell r="T482">
            <v>2680003.463</v>
          </cell>
          <cell r="U482">
            <v>202.48920000000001</v>
          </cell>
          <cell r="V482">
            <v>37.520000000000003</v>
          </cell>
          <cell r="W482">
            <v>0</v>
          </cell>
          <cell r="X482">
            <v>190.578</v>
          </cell>
          <cell r="Y482">
            <v>0</v>
          </cell>
          <cell r="Z482">
            <v>21.640999999999998</v>
          </cell>
          <cell r="AA482">
            <v>452.22820000000002</v>
          </cell>
          <cell r="AB482">
            <v>261.65019999999998</v>
          </cell>
          <cell r="AF482" t="str">
            <v>M1391</v>
          </cell>
          <cell r="AG482" t="str">
            <v>Ponteiro para martelete de 22 x 1.000 mm</v>
          </cell>
          <cell r="AH482" t="str">
            <v>un</v>
          </cell>
          <cell r="AI482">
            <v>141.29150000000001</v>
          </cell>
        </row>
        <row r="483">
          <cell r="C483" t="str">
            <v>Custo horário total de mão de obra</v>
          </cell>
          <cell r="H483">
            <v>66.308199999999999</v>
          </cell>
          <cell r="R483" t="str">
            <v>E9783</v>
          </cell>
          <cell r="S483" t="str">
            <v>Plataforma pantográfica montada em caminhão - 115 kW</v>
          </cell>
          <cell r="T483">
            <v>0</v>
          </cell>
          <cell r="U483">
            <v>0</v>
          </cell>
          <cell r="V483">
            <v>0</v>
          </cell>
          <cell r="W483">
            <v>0</v>
          </cell>
          <cell r="X483">
            <v>0</v>
          </cell>
          <cell r="Y483">
            <v>0</v>
          </cell>
          <cell r="Z483">
            <v>0</v>
          </cell>
          <cell r="AA483">
            <v>200.68860000000001</v>
          </cell>
          <cell r="AB483">
            <v>92.001599999999996</v>
          </cell>
          <cell r="AF483" t="str">
            <v>M1392</v>
          </cell>
          <cell r="AG483" t="str">
            <v>Bico para injeção de adesivo estrutural à base de resina epóxi</v>
          </cell>
          <cell r="AH483" t="str">
            <v>un</v>
          </cell>
          <cell r="AI483">
            <v>20.349599999999999</v>
          </cell>
        </row>
        <row r="484">
          <cell r="C484" t="str">
            <v>Custo horário total de execução</v>
          </cell>
          <cell r="I484">
            <v>66.308199999999999</v>
          </cell>
          <cell r="R484" t="str">
            <v>A9301</v>
          </cell>
          <cell r="S484" t="str">
            <v>Caminhão plataforma 4 x 2, PBT 8.300 kg e distância entre eixos 3,7 m - 115 kW - Motorista de veículo especial</v>
          </cell>
          <cell r="T484">
            <v>220108.67910000001</v>
          </cell>
          <cell r="U484">
            <v>9.4331999999999994</v>
          </cell>
          <cell r="V484">
            <v>1.9810000000000001</v>
          </cell>
          <cell r="W484">
            <v>1.5722</v>
          </cell>
          <cell r="X484">
            <v>14.149800000000001</v>
          </cell>
          <cell r="Y484">
            <v>69.963700000000003</v>
          </cell>
          <cell r="Z484">
            <v>29.414200000000001</v>
          </cell>
          <cell r="AA484">
            <v>126.5141</v>
          </cell>
          <cell r="AB484">
            <v>42.400599999999997</v>
          </cell>
          <cell r="AF484" t="str">
            <v>M1397</v>
          </cell>
          <cell r="AG484" t="str">
            <v>Eletrodo E60 xx</v>
          </cell>
          <cell r="AH484" t="str">
            <v>kg</v>
          </cell>
          <cell r="AI484">
            <v>17.535699999999999</v>
          </cell>
        </row>
        <row r="485">
          <cell r="C485" t="str">
            <v>Custo unitário de execução</v>
          </cell>
          <cell r="I485">
            <v>33.1541</v>
          </cell>
          <cell r="R485" t="str">
            <v>A9377</v>
          </cell>
          <cell r="S485" t="str">
            <v>Plataforma pantográfica hidráulica montada sobre chassi com capacidade de 600 kg</v>
          </cell>
          <cell r="T485">
            <v>368602.5</v>
          </cell>
          <cell r="U485">
            <v>24.573499999999999</v>
          </cell>
          <cell r="V485">
            <v>3.3864999999999998</v>
          </cell>
          <cell r="W485">
            <v>0</v>
          </cell>
          <cell r="X485">
            <v>24.573499999999999</v>
          </cell>
          <cell r="Y485">
            <v>0</v>
          </cell>
          <cell r="Z485">
            <v>21.640999999999998</v>
          </cell>
          <cell r="AA485">
            <v>74.174499999999995</v>
          </cell>
          <cell r="AB485">
            <v>49.600999999999999</v>
          </cell>
          <cell r="AF485" t="str">
            <v>M1398</v>
          </cell>
          <cell r="AG485" t="str">
            <v>Vareta para solda oxi-gás AWS A 5.2 R45</v>
          </cell>
          <cell r="AH485" t="str">
            <v>kg</v>
          </cell>
          <cell r="AI485">
            <v>19.3657</v>
          </cell>
        </row>
        <row r="486">
          <cell r="G486" t="str">
            <v>Custo do FIC</v>
          </cell>
          <cell r="I486" t="str">
            <v>-</v>
          </cell>
          <cell r="R486" t="str">
            <v>E9787</v>
          </cell>
          <cell r="S486" t="str">
            <v>Bomba para concreto com lança montada sobre chassi com capacidade de 45 m³/h - 136 kW</v>
          </cell>
          <cell r="T486">
            <v>0</v>
          </cell>
          <cell r="U486">
            <v>0</v>
          </cell>
          <cell r="V486">
            <v>0</v>
          </cell>
          <cell r="W486">
            <v>0</v>
          </cell>
          <cell r="X486">
            <v>0</v>
          </cell>
          <cell r="Y486">
            <v>0</v>
          </cell>
          <cell r="Z486">
            <v>0</v>
          </cell>
          <cell r="AA486">
            <v>259.589</v>
          </cell>
          <cell r="AB486">
            <v>122.1344</v>
          </cell>
          <cell r="AF486" t="str">
            <v>M1408</v>
          </cell>
          <cell r="AG486" t="str">
            <v>Grelha metálica para canaletas de 30 x 100 cm</v>
          </cell>
          <cell r="AH486" t="str">
            <v>un</v>
          </cell>
          <cell r="AI486">
            <v>233.12880000000001</v>
          </cell>
        </row>
        <row r="487">
          <cell r="G487" t="str">
            <v>Custo do FIT</v>
          </cell>
          <cell r="I487" t="str">
            <v>-</v>
          </cell>
          <cell r="R487" t="str">
            <v>A9308</v>
          </cell>
          <cell r="S487" t="str">
            <v>Caminhão plataforma 4 x 2, PBT 17.100 kg e distância entre eixos 4,8 m - 136 kW - Motorista de veículo especial</v>
          </cell>
          <cell r="T487">
            <v>302801.03139999998</v>
          </cell>
          <cell r="U487">
            <v>12.9772</v>
          </cell>
          <cell r="V487">
            <v>2.7252000000000001</v>
          </cell>
          <cell r="W487">
            <v>2.1629</v>
          </cell>
          <cell r="X487">
            <v>19.465800000000002</v>
          </cell>
          <cell r="Y487">
            <v>82.739699999999999</v>
          </cell>
          <cell r="Z487">
            <v>29.414200000000001</v>
          </cell>
          <cell r="AA487">
            <v>149.48500000000001</v>
          </cell>
          <cell r="AB487">
            <v>47.279499999999999</v>
          </cell>
          <cell r="AF487" t="str">
            <v>M1409</v>
          </cell>
          <cell r="AG487" t="str">
            <v>Porta grelha metálica de 30 x 100 cm</v>
          </cell>
          <cell r="AH487" t="str">
            <v>m</v>
          </cell>
          <cell r="AI487">
            <v>62.711199999999998</v>
          </cell>
        </row>
        <row r="488">
          <cell r="C488" t="str">
            <v>Quantidade</v>
          </cell>
          <cell r="D488" t="str">
            <v>Unidade</v>
          </cell>
          <cell r="E488" t="str">
            <v>Preço Unitário</v>
          </cell>
          <cell r="G488" t="str">
            <v>Custo Unitário</v>
          </cell>
          <cell r="R488" t="str">
            <v>A9371</v>
          </cell>
          <cell r="S488" t="str">
            <v>Bomba para concreto com lança montada sobre chassi com capacidade de 45 m³/h</v>
          </cell>
          <cell r="T488">
            <v>440613.63900000002</v>
          </cell>
          <cell r="U488">
            <v>35.249099999999999</v>
          </cell>
          <cell r="V488">
            <v>4.1638000000000002</v>
          </cell>
          <cell r="W488">
            <v>0</v>
          </cell>
          <cell r="X488">
            <v>35.249099999999999</v>
          </cell>
          <cell r="Y488">
            <v>0</v>
          </cell>
          <cell r="Z488">
            <v>35.442</v>
          </cell>
          <cell r="AA488">
            <v>110.104</v>
          </cell>
          <cell r="AB488">
            <v>74.854900000000001</v>
          </cell>
          <cell r="AF488" t="str">
            <v>M1429</v>
          </cell>
          <cell r="AG488" t="str">
            <v>Tábua de pinho de terceira - E = 2,5 cm</v>
          </cell>
          <cell r="AH488" t="str">
            <v>m²</v>
          </cell>
          <cell r="AI488">
            <v>33.299999999999997</v>
          </cell>
        </row>
        <row r="489">
          <cell r="C489">
            <v>1</v>
          </cell>
          <cell r="D489" t="str">
            <v>un</v>
          </cell>
          <cell r="F489">
            <v>228.36490000000001</v>
          </cell>
          <cell r="I489">
            <v>228.36490000000001</v>
          </cell>
          <cell r="R489" t="str">
            <v>E9792</v>
          </cell>
          <cell r="S489" t="str">
            <v>Caminhão para hidrossemeadura com capacidade de 7.000 l - 25 kW/136 kW</v>
          </cell>
          <cell r="T489">
            <v>0</v>
          </cell>
          <cell r="U489">
            <v>0</v>
          </cell>
          <cell r="V489">
            <v>0</v>
          </cell>
          <cell r="W489">
            <v>0</v>
          </cell>
          <cell r="X489">
            <v>0</v>
          </cell>
          <cell r="Y489">
            <v>0</v>
          </cell>
          <cell r="Z489">
            <v>0</v>
          </cell>
          <cell r="AA489">
            <v>202.31190000000001</v>
          </cell>
          <cell r="AB489">
            <v>72.2684</v>
          </cell>
          <cell r="AF489" t="str">
            <v>M1432</v>
          </cell>
          <cell r="AG489" t="str">
            <v>Tampão de ferro fundido para águas pluviais TD 600</v>
          </cell>
          <cell r="AH489" t="str">
            <v>un</v>
          </cell>
          <cell r="AI489">
            <v>393.18</v>
          </cell>
        </row>
        <row r="490">
          <cell r="C490" t="str">
            <v>Custo unitário total de material</v>
          </cell>
          <cell r="I490">
            <v>228.36490000000001</v>
          </cell>
          <cell r="R490" t="str">
            <v>A9323</v>
          </cell>
          <cell r="S490" t="str">
            <v>Caminhão plataforma 4 x 2, PBT 14.300 kg e distância entre eixos 4,8 m - 136 kW - Motorista de caminhão</v>
          </cell>
          <cell r="T490">
            <v>281365.40749999997</v>
          </cell>
          <cell r="U490">
            <v>12.0585</v>
          </cell>
          <cell r="V490">
            <v>2.5323000000000002</v>
          </cell>
          <cell r="W490">
            <v>2.0097999999999998</v>
          </cell>
          <cell r="X490">
            <v>18.087800000000001</v>
          </cell>
          <cell r="Y490">
            <v>82.739699999999999</v>
          </cell>
          <cell r="Z490">
            <v>24.831199999999999</v>
          </cell>
          <cell r="AA490">
            <v>142.2593</v>
          </cell>
          <cell r="AB490">
            <v>41.431800000000003</v>
          </cell>
          <cell r="AF490" t="str">
            <v>M1433</v>
          </cell>
          <cell r="AG490" t="str">
            <v>Grelha metálica para canaletas de 50 x 50 cm</v>
          </cell>
          <cell r="AH490" t="str">
            <v>un</v>
          </cell>
          <cell r="AI490">
            <v>164.102</v>
          </cell>
        </row>
        <row r="491">
          <cell r="C491" t="str">
            <v>Quantidade</v>
          </cell>
          <cell r="D491" t="str">
            <v>Unidade</v>
          </cell>
          <cell r="E491" t="str">
            <v>Custo Unitário</v>
          </cell>
          <cell r="G491" t="str">
            <v>Custo Unitário</v>
          </cell>
          <cell r="R491" t="str">
            <v>A9362</v>
          </cell>
          <cell r="S491" t="str">
            <v>Tanque para hidrossemeadura com capacidade de 7.000 l - 25 kW</v>
          </cell>
          <cell r="T491">
            <v>108397.22900000001</v>
          </cell>
          <cell r="U491">
            <v>8.1808999999999994</v>
          </cell>
          <cell r="V491">
            <v>1.0146999999999999</v>
          </cell>
          <cell r="W491">
            <v>0</v>
          </cell>
          <cell r="X491">
            <v>9.2035</v>
          </cell>
          <cell r="Y491">
            <v>20.012499999999999</v>
          </cell>
          <cell r="Z491">
            <v>21.640999999999998</v>
          </cell>
          <cell r="AA491">
            <v>60.052599999999998</v>
          </cell>
          <cell r="AB491">
            <v>30.836600000000001</v>
          </cell>
          <cell r="AF491" t="str">
            <v>M1434</v>
          </cell>
          <cell r="AG491" t="str">
            <v>Porta grelha metálica de 50 x 50 cm</v>
          </cell>
          <cell r="AH491" t="str">
            <v>m</v>
          </cell>
          <cell r="AI491">
            <v>109.021</v>
          </cell>
        </row>
        <row r="492">
          <cell r="C492" t="str">
            <v>Custo total de atividades auxiliares</v>
          </cell>
          <cell r="AF492" t="str">
            <v>M1446</v>
          </cell>
          <cell r="AG492" t="str">
            <v>Geogrelha bidirecional com resistência à tração de 30 kN/m, deformação inferior a 5% e malha de 36 x 34 mm</v>
          </cell>
          <cell r="AH492" t="str">
            <v>m²</v>
          </cell>
          <cell r="AI492">
            <v>26.149000000000001</v>
          </cell>
        </row>
        <row r="493">
          <cell r="G493" t="str">
            <v>Subtotal</v>
          </cell>
          <cell r="AF493" t="str">
            <v>M1447</v>
          </cell>
          <cell r="AG493" t="str">
            <v>Geogrelha unidirecional com resistência à tração de 60 kN/m</v>
          </cell>
          <cell r="AH493" t="str">
            <v>m²</v>
          </cell>
          <cell r="AI493">
            <v>13.1305</v>
          </cell>
        </row>
        <row r="494">
          <cell r="C494" t="str">
            <v>Código</v>
          </cell>
          <cell r="D494" t="str">
            <v>Quantidade</v>
          </cell>
          <cell r="E494" t="str">
            <v>Unidade</v>
          </cell>
          <cell r="F494" t="str">
            <v>Custo Unitário</v>
          </cell>
          <cell r="H494" t="str">
            <v>Custo Unitário</v>
          </cell>
          <cell r="AF494" t="str">
            <v>M1448</v>
          </cell>
          <cell r="AG494" t="str">
            <v>Geogrelha unidirecional com resistência à tração de 80 kN/m</v>
          </cell>
          <cell r="AH494" t="str">
            <v>m²</v>
          </cell>
          <cell r="AI494">
            <v>17.180399999999999</v>
          </cell>
        </row>
        <row r="495">
          <cell r="C495">
            <v>5914655</v>
          </cell>
          <cell r="D495">
            <v>1.52E-2</v>
          </cell>
          <cell r="E495" t="str">
            <v>t</v>
          </cell>
          <cell r="G495">
            <v>22.49</v>
          </cell>
          <cell r="I495">
            <v>0.34184799999999999</v>
          </cell>
          <cell r="AF495" t="str">
            <v>M1449</v>
          </cell>
          <cell r="AG495" t="str">
            <v>Geogrelha unidirecional com resistência à tração de 100 kN/m</v>
          </cell>
          <cell r="AH495" t="str">
            <v>m²</v>
          </cell>
          <cell r="AI495">
            <v>17.474900000000002</v>
          </cell>
        </row>
        <row r="496">
          <cell r="C496" t="str">
            <v>Custo unitário total de tempo fixo</v>
          </cell>
          <cell r="I496">
            <v>0.34184799999999999</v>
          </cell>
          <cell r="AF496" t="str">
            <v>M1450</v>
          </cell>
          <cell r="AG496" t="str">
            <v>Geogrelha unidirecional com resistência à tração de 150 kN/m</v>
          </cell>
          <cell r="AH496" t="str">
            <v>m²</v>
          </cell>
          <cell r="AI496">
            <v>18.8185</v>
          </cell>
        </row>
        <row r="497">
          <cell r="C497" t="str">
            <v>Quantidade</v>
          </cell>
          <cell r="D497" t="str">
            <v>Unidade</v>
          </cell>
          <cell r="E497" t="str">
            <v>DMT</v>
          </cell>
          <cell r="I497" t="str">
            <v>Custo Unitário</v>
          </cell>
          <cell r="AF497" t="str">
            <v>M1451</v>
          </cell>
          <cell r="AG497" t="str">
            <v>Geogrelha unidirecional com resistência à tração de 200 kN/m</v>
          </cell>
          <cell r="AH497" t="str">
            <v>m²</v>
          </cell>
          <cell r="AI497">
            <v>25.627600000000001</v>
          </cell>
        </row>
        <row r="498">
          <cell r="E498" t="str">
            <v>LN</v>
          </cell>
          <cell r="F498" t="str">
            <v>RP</v>
          </cell>
          <cell r="G498" t="str">
            <v>P</v>
          </cell>
          <cell r="AF498" t="str">
            <v>M1452</v>
          </cell>
          <cell r="AG498" t="str">
            <v>Geogrelha unidirecional com resistência à tração de 300 kN/m</v>
          </cell>
          <cell r="AH498" t="str">
            <v>m²</v>
          </cell>
          <cell r="AI498">
            <v>38.475200000000001</v>
          </cell>
        </row>
        <row r="499">
          <cell r="C499">
            <v>1.52E-2</v>
          </cell>
          <cell r="D499" t="str">
            <v>tkm</v>
          </cell>
          <cell r="E499">
            <v>5914449</v>
          </cell>
          <cell r="F499">
            <v>5914464</v>
          </cell>
          <cell r="G499">
            <v>5914479</v>
          </cell>
          <cell r="AF499" t="str">
            <v>M1453</v>
          </cell>
          <cell r="AG499" t="str">
            <v>Geogrelha unidirecional com resistência à tração de 400 kN/m</v>
          </cell>
          <cell r="AH499" t="str">
            <v>m²</v>
          </cell>
          <cell r="AI499">
            <v>51.3489</v>
          </cell>
        </row>
        <row r="500">
          <cell r="C500" t="str">
            <v>Custo unitário total de transporte</v>
          </cell>
          <cell r="I500" t="str">
            <v>-</v>
          </cell>
          <cell r="AF500" t="str">
            <v>M1454</v>
          </cell>
          <cell r="AG500" t="str">
            <v>Geocélula de PEAD - H = 75 mm e célula de 250 cm²</v>
          </cell>
          <cell r="AH500" t="str">
            <v>m²</v>
          </cell>
          <cell r="AI500">
            <v>33.351900000000001</v>
          </cell>
        </row>
        <row r="501">
          <cell r="C501">
            <v>3713689</v>
          </cell>
          <cell r="D501" t="str">
            <v>un</v>
          </cell>
          <cell r="E501" t="str">
            <v>Custo unitário direto total</v>
          </cell>
          <cell r="I501">
            <v>261.86084800000003</v>
          </cell>
          <cell r="AF501" t="str">
            <v>M1455</v>
          </cell>
          <cell r="AG501" t="str">
            <v>Geocélula de PEAD - H = 100 mm e célula de 250 cm²</v>
          </cell>
          <cell r="AH501" t="str">
            <v>m²</v>
          </cell>
          <cell r="AI501">
            <v>41.741900000000001</v>
          </cell>
        </row>
        <row r="502">
          <cell r="AF502" t="str">
            <v>M1456</v>
          </cell>
          <cell r="AG502" t="str">
            <v>Geocélula de PEAD - H = 125 mm e célula de 250 cm²</v>
          </cell>
          <cell r="AH502" t="str">
            <v>m²</v>
          </cell>
          <cell r="AI502">
            <v>50.0837</v>
          </cell>
        </row>
        <row r="503">
          <cell r="AF503" t="str">
            <v>M1457</v>
          </cell>
          <cell r="AG503" t="str">
            <v>Geocélula de PEAD - H = 200 mm e célula de 250 cm²</v>
          </cell>
          <cell r="AH503" t="str">
            <v>m²</v>
          </cell>
          <cell r="AI503">
            <v>58.671999999999997</v>
          </cell>
        </row>
        <row r="504">
          <cell r="I504" t="str">
            <v>DNIT</v>
          </cell>
          <cell r="AF504" t="str">
            <v>M1458</v>
          </cell>
          <cell r="AG504" t="str">
            <v>Geocélula de PEAD - H = 75 mm e célula de 460 cm²</v>
          </cell>
          <cell r="AH504" t="str">
            <v>m²</v>
          </cell>
          <cell r="AI504">
            <v>27.5748</v>
          </cell>
        </row>
        <row r="505">
          <cell r="AF505" t="str">
            <v>M1459</v>
          </cell>
          <cell r="AG505" t="str">
            <v>Geocélula de PEAD - H = 100 mm e célula de 460 cm²</v>
          </cell>
          <cell r="AH505" t="str">
            <v>m²</v>
          </cell>
          <cell r="AI505">
            <v>30.620799999999999</v>
          </cell>
        </row>
        <row r="506">
          <cell r="D506" t="str">
            <v>Outubro/2019</v>
          </cell>
          <cell r="G506" t="str">
            <v>Produção da equipe</v>
          </cell>
          <cell r="H506">
            <v>24.9</v>
          </cell>
          <cell r="I506" t="str">
            <v>m</v>
          </cell>
          <cell r="AF506" t="str">
            <v>M1460</v>
          </cell>
          <cell r="AG506" t="str">
            <v>Geocélula de PEAD - H = 125 mm e célula de 460 cm²</v>
          </cell>
          <cell r="AH506" t="str">
            <v>m²</v>
          </cell>
          <cell r="AI506">
            <v>40.895600000000002</v>
          </cell>
        </row>
        <row r="507">
          <cell r="H507" t="str">
            <v>Valores em reais (R$)</v>
          </cell>
          <cell r="AF507" t="str">
            <v>M1461</v>
          </cell>
          <cell r="AG507" t="str">
            <v>Geocélula de PEAD - H = 200 mm e célula de 460 cm²</v>
          </cell>
          <cell r="AH507" t="str">
            <v>m²</v>
          </cell>
          <cell r="AI507">
            <v>47.6601</v>
          </cell>
        </row>
        <row r="508">
          <cell r="C508" t="str">
            <v>Quantidade</v>
          </cell>
          <cell r="D508" t="str">
            <v>Utilização</v>
          </cell>
          <cell r="F508" t="str">
            <v>Custo Horário</v>
          </cell>
          <cell r="I508" t="str">
            <v>Custo</v>
          </cell>
          <cell r="AF508" t="str">
            <v>M1462</v>
          </cell>
          <cell r="AG508" t="str">
            <v>Geocélula de PEAD - H = 75 mm e célula de 1.206 cm²</v>
          </cell>
          <cell r="AH508" t="str">
            <v>m²</v>
          </cell>
          <cell r="AI508">
            <v>24.829000000000001</v>
          </cell>
        </row>
        <row r="509">
          <cell r="D509" t="str">
            <v>Operativa</v>
          </cell>
          <cell r="E509" t="str">
            <v>Improdutiva</v>
          </cell>
          <cell r="F509" t="str">
            <v>Produtivo</v>
          </cell>
          <cell r="G509" t="str">
            <v>Improdutivo</v>
          </cell>
          <cell r="I509" t="str">
            <v>Horário Total</v>
          </cell>
          <cell r="AF509" t="str">
            <v>M1463</v>
          </cell>
          <cell r="AG509" t="str">
            <v>Geocélula de PEAD - H = 100 mm e célula de 1.206 cm²</v>
          </cell>
          <cell r="AH509" t="str">
            <v>m²</v>
          </cell>
          <cell r="AI509">
            <v>32.373399999999997</v>
          </cell>
        </row>
        <row r="510">
          <cell r="C510">
            <v>2</v>
          </cell>
          <cell r="D510">
            <v>1</v>
          </cell>
          <cell r="E510">
            <v>0</v>
          </cell>
          <cell r="F510">
            <v>0.31530000000000002</v>
          </cell>
          <cell r="G510">
            <v>0.20979999999999999</v>
          </cell>
          <cell r="I510">
            <v>0.63060000000000005</v>
          </cell>
          <cell r="AF510" t="str">
            <v>M1464</v>
          </cell>
          <cell r="AG510" t="str">
            <v>Geocélula de PEAD - H = 125 mm e célula de 1.206 cm²</v>
          </cell>
          <cell r="AH510" t="str">
            <v>m²</v>
          </cell>
          <cell r="AI510">
            <v>38.4542</v>
          </cell>
        </row>
        <row r="511">
          <cell r="C511">
            <v>1</v>
          </cell>
          <cell r="D511">
            <v>1</v>
          </cell>
          <cell r="E511">
            <v>0</v>
          </cell>
          <cell r="F511">
            <v>2.5758000000000001</v>
          </cell>
          <cell r="G511">
            <v>1.5417000000000001</v>
          </cell>
          <cell r="I511">
            <v>2.5758000000000001</v>
          </cell>
          <cell r="AF511" t="str">
            <v>M1465</v>
          </cell>
          <cell r="AG511" t="str">
            <v>Geocélula de PEAD - H = 200 mm e célula de 1.206 cm²</v>
          </cell>
          <cell r="AH511" t="str">
            <v>m²</v>
          </cell>
          <cell r="AI511">
            <v>44.961399999999998</v>
          </cell>
        </row>
        <row r="512">
          <cell r="C512">
            <v>1</v>
          </cell>
          <cell r="D512">
            <v>1</v>
          </cell>
          <cell r="E512">
            <v>0</v>
          </cell>
          <cell r="F512">
            <v>2.6341999999999999</v>
          </cell>
          <cell r="G512">
            <v>0.1467</v>
          </cell>
          <cell r="I512">
            <v>2.6341999999999999</v>
          </cell>
          <cell r="AF512" t="str">
            <v>M1468</v>
          </cell>
          <cell r="AG512" t="str">
            <v>Mastique para juntas à base de alcatrão e poliuretano</v>
          </cell>
          <cell r="AH512" t="str">
            <v>kg</v>
          </cell>
          <cell r="AI512">
            <v>38.8187</v>
          </cell>
        </row>
        <row r="513">
          <cell r="G513" t="str">
            <v>Custo horário total de equipamentos</v>
          </cell>
          <cell r="I513">
            <v>5.8406000000000002</v>
          </cell>
          <cell r="AF513" t="str">
            <v>M1472</v>
          </cell>
          <cell r="AG513" t="str">
            <v>Tubo de PVC roscável 3"</v>
          </cell>
          <cell r="AH513" t="str">
            <v>m</v>
          </cell>
          <cell r="AI513">
            <v>64.894999999999996</v>
          </cell>
        </row>
        <row r="514">
          <cell r="C514" t="str">
            <v>Quantidade</v>
          </cell>
          <cell r="D514" t="str">
            <v>Unidade</v>
          </cell>
          <cell r="E514" t="str">
            <v>Custo Horário</v>
          </cell>
          <cell r="G514" t="str">
            <v>Custo Horário Total</v>
          </cell>
          <cell r="AF514" t="str">
            <v>M1481</v>
          </cell>
          <cell r="AG514" t="str">
            <v>Coroa diamantada - D = 32 mm</v>
          </cell>
          <cell r="AH514" t="str">
            <v>un</v>
          </cell>
          <cell r="AI514">
            <v>744.66800000000001</v>
          </cell>
        </row>
        <row r="515">
          <cell r="C515">
            <v>4.4739300000000002</v>
          </cell>
          <cell r="D515" t="str">
            <v>h</v>
          </cell>
          <cell r="F515">
            <v>21.672799999999999</v>
          </cell>
          <cell r="I515">
            <v>96.962590104</v>
          </cell>
          <cell r="AF515" t="str">
            <v>M1496</v>
          </cell>
          <cell r="AG515" t="str">
            <v>Coroa diamantada - D = 38 mm</v>
          </cell>
          <cell r="AH515" t="str">
            <v>un</v>
          </cell>
          <cell r="AI515">
            <v>691.92660000000001</v>
          </cell>
        </row>
        <row r="516">
          <cell r="C516">
            <v>4.4739300000000002</v>
          </cell>
          <cell r="D516" t="str">
            <v>h</v>
          </cell>
          <cell r="F516">
            <v>24.3476</v>
          </cell>
          <cell r="I516">
            <v>108.929458068</v>
          </cell>
          <cell r="AF516" t="str">
            <v>M1498</v>
          </cell>
          <cell r="AG516" t="str">
            <v>Coroa diamantada - D = 44 mm</v>
          </cell>
          <cell r="AH516" t="str">
            <v>un</v>
          </cell>
          <cell r="AI516">
            <v>771.92570000000001</v>
          </cell>
        </row>
        <row r="517">
          <cell r="C517">
            <v>4.9800000000000004</v>
          </cell>
          <cell r="D517" t="str">
            <v>h</v>
          </cell>
          <cell r="F517">
            <v>24.468900000000001</v>
          </cell>
          <cell r="I517">
            <v>121.85512200000002</v>
          </cell>
          <cell r="AF517" t="str">
            <v>M1518</v>
          </cell>
          <cell r="AG517" t="str">
            <v>Coroa diamantada - D = 50 mm</v>
          </cell>
          <cell r="AH517" t="str">
            <v>un</v>
          </cell>
          <cell r="AI517">
            <v>808.62310000000002</v>
          </cell>
        </row>
        <row r="518">
          <cell r="C518">
            <v>7.47</v>
          </cell>
          <cell r="D518" t="str">
            <v>h</v>
          </cell>
          <cell r="F518">
            <v>19.378599999999999</v>
          </cell>
          <cell r="I518">
            <v>144.75814199999999</v>
          </cell>
          <cell r="AF518" t="str">
            <v>M1519</v>
          </cell>
          <cell r="AG518" t="str">
            <v>Coroa diamantada - D = 63 mm</v>
          </cell>
          <cell r="AH518" t="str">
            <v>un</v>
          </cell>
          <cell r="AI518">
            <v>966.77880000000005</v>
          </cell>
        </row>
        <row r="519">
          <cell r="C519" t="str">
            <v>Custo horário total de mão de obra</v>
          </cell>
          <cell r="H519">
            <v>472.505312172</v>
          </cell>
          <cell r="AF519" t="str">
            <v>M1520</v>
          </cell>
          <cell r="AG519" t="str">
            <v>Coroa diamantada - D = 75 mm</v>
          </cell>
          <cell r="AH519" t="str">
            <v>un</v>
          </cell>
          <cell r="AI519">
            <v>1318.8041000000001</v>
          </cell>
        </row>
        <row r="520">
          <cell r="C520" t="str">
            <v>Custo horário total de execução</v>
          </cell>
          <cell r="I520">
            <v>478.345912172</v>
          </cell>
          <cell r="AF520" t="str">
            <v>M1526</v>
          </cell>
          <cell r="AG520" t="str">
            <v>Coroa diamantada - D = 100 mm</v>
          </cell>
          <cell r="AH520" t="str">
            <v>un</v>
          </cell>
          <cell r="AI520">
            <v>1580.8312000000001</v>
          </cell>
        </row>
        <row r="521">
          <cell r="C521" t="str">
            <v>Custo unitário de execução</v>
          </cell>
          <cell r="I521">
            <v>19.210679203694781</v>
          </cell>
          <cell r="AF521" t="str">
            <v>M1527</v>
          </cell>
          <cell r="AG521" t="str">
            <v>Broca de widia - D = 10 mm</v>
          </cell>
          <cell r="AH521" t="str">
            <v>un</v>
          </cell>
          <cell r="AI521">
            <v>6.9659000000000004</v>
          </cell>
        </row>
        <row r="522">
          <cell r="G522" t="str">
            <v>Custo do FIC</v>
          </cell>
          <cell r="I522" t="str">
            <v>-</v>
          </cell>
          <cell r="AF522" t="str">
            <v>M1528</v>
          </cell>
          <cell r="AG522" t="str">
            <v>Broca de widia - D = 12,5 mm</v>
          </cell>
          <cell r="AH522" t="str">
            <v>un</v>
          </cell>
          <cell r="AI522">
            <v>15.5379</v>
          </cell>
        </row>
        <row r="523">
          <cell r="G523" t="str">
            <v>Custo do FIT</v>
          </cell>
          <cell r="I523" t="str">
            <v>-</v>
          </cell>
          <cell r="AF523" t="str">
            <v>M1530</v>
          </cell>
          <cell r="AG523" t="str">
            <v>Parafuso de aço</v>
          </cell>
          <cell r="AH523" t="str">
            <v>kg</v>
          </cell>
          <cell r="AI523">
            <v>89.120999999999995</v>
          </cell>
        </row>
        <row r="524">
          <cell r="C524" t="str">
            <v>Quantidade</v>
          </cell>
          <cell r="D524" t="str">
            <v>Unidade</v>
          </cell>
          <cell r="E524" t="str">
            <v>Preço Unitário</v>
          </cell>
          <cell r="G524" t="str">
            <v>Custo Unitário</v>
          </cell>
          <cell r="AF524" t="str">
            <v>M1536</v>
          </cell>
          <cell r="AG524" t="str">
            <v>Argamassa estrutural de alta resistência feita na consistência seca</v>
          </cell>
          <cell r="AH524" t="str">
            <v>kg</v>
          </cell>
          <cell r="AI524">
            <v>1.4983</v>
          </cell>
        </row>
        <row r="525">
          <cell r="C525" t="str">
            <v>Custo unitário total de material</v>
          </cell>
          <cell r="AF525" t="str">
            <v>M1543</v>
          </cell>
          <cell r="AG525" t="str">
            <v>Telha de fibrocimento ondulada de 5 mm</v>
          </cell>
          <cell r="AH525" t="str">
            <v>m²</v>
          </cell>
          <cell r="AI525">
            <v>11.643000000000001</v>
          </cell>
        </row>
        <row r="526">
          <cell r="C526" t="str">
            <v>Quantidade</v>
          </cell>
          <cell r="D526" t="str">
            <v>Unidade</v>
          </cell>
          <cell r="E526" t="str">
            <v>Custo Unitário</v>
          </cell>
          <cell r="G526" t="str">
            <v>Custo Unitário</v>
          </cell>
          <cell r="AF526" t="str">
            <v>M1546</v>
          </cell>
          <cell r="AG526" t="str">
            <v>Telha de aço zincado - E = 0,43 mm</v>
          </cell>
          <cell r="AH526" t="str">
            <v>m²</v>
          </cell>
          <cell r="AI526">
            <v>27.564299999999999</v>
          </cell>
        </row>
        <row r="527">
          <cell r="C527">
            <v>4.4919000000000002</v>
          </cell>
          <cell r="D527" t="str">
            <v>kg</v>
          </cell>
          <cell r="F527">
            <v>8.1813922999999988</v>
          </cell>
          <cell r="I527">
            <v>36.749996072369996</v>
          </cell>
          <cell r="AF527" t="str">
            <v>M1553</v>
          </cell>
          <cell r="AG527" t="str">
            <v>Geotêxtil não-tecido agulhado RT 31</v>
          </cell>
          <cell r="AH527" t="str">
            <v>m²</v>
          </cell>
          <cell r="AI527">
            <v>13.1798</v>
          </cell>
        </row>
        <row r="528">
          <cell r="C528">
            <v>4.1730000000000003E-2</v>
          </cell>
          <cell r="D528" t="str">
            <v>m³</v>
          </cell>
          <cell r="F528">
            <v>324.46272775692267</v>
          </cell>
          <cell r="I528">
            <v>13.539829629296385</v>
          </cell>
          <cell r="AF528" t="str">
            <v>M1557</v>
          </cell>
          <cell r="AG528" t="str">
            <v>Tijolo furado de 10 x 20 x 20 cm</v>
          </cell>
          <cell r="AH528" t="str">
            <v>un</v>
          </cell>
          <cell r="AI528">
            <v>0.4133</v>
          </cell>
        </row>
        <row r="529">
          <cell r="C529" t="str">
            <v>Custo total de atividades auxiliares</v>
          </cell>
          <cell r="I529">
            <v>50.289825701666381</v>
          </cell>
          <cell r="AF529" t="str">
            <v>M1566</v>
          </cell>
          <cell r="AG529" t="str">
            <v>Tacha refletiva metálica bidirecional com um pino</v>
          </cell>
          <cell r="AH529" t="str">
            <v>un</v>
          </cell>
          <cell r="AI529">
            <v>20.654699999999998</v>
          </cell>
        </row>
        <row r="530">
          <cell r="G530" t="str">
            <v>Subtotal</v>
          </cell>
          <cell r="AF530" t="str">
            <v>M1567</v>
          </cell>
          <cell r="AG530" t="str">
            <v>Tacha refletiva metálica bidirecional com dois pinos</v>
          </cell>
          <cell r="AH530" t="str">
            <v>un</v>
          </cell>
          <cell r="AI530">
            <v>31.214400000000001</v>
          </cell>
        </row>
        <row r="531">
          <cell r="C531" t="str">
            <v>Código</v>
          </cell>
          <cell r="D531" t="str">
            <v>Quantidade</v>
          </cell>
          <cell r="E531" t="str">
            <v>Unidade</v>
          </cell>
          <cell r="F531" t="str">
            <v>Custo Unitário</v>
          </cell>
          <cell r="H531" t="str">
            <v>Custo Unitário</v>
          </cell>
          <cell r="AF531" t="str">
            <v>M1568</v>
          </cell>
          <cell r="AG531" t="str">
            <v>Tinta epóxi</v>
          </cell>
          <cell r="AH531" t="str">
            <v>l</v>
          </cell>
          <cell r="AI531">
            <v>52.390500000000003</v>
          </cell>
        </row>
        <row r="532">
          <cell r="C532" t="str">
            <v>Custo unitário total de tempo fixo</v>
          </cell>
          <cell r="AF532" t="str">
            <v>M1570</v>
          </cell>
          <cell r="AG532" t="str">
            <v>Tinta de etil silicato de zinco</v>
          </cell>
          <cell r="AH532" t="str">
            <v>l</v>
          </cell>
          <cell r="AI532">
            <v>118.3493</v>
          </cell>
        </row>
        <row r="533">
          <cell r="C533" t="str">
            <v>Quantidade</v>
          </cell>
          <cell r="D533" t="str">
            <v>Unidade</v>
          </cell>
          <cell r="E533" t="str">
            <v>DMT</v>
          </cell>
          <cell r="I533" t="str">
            <v>Custo Unitário</v>
          </cell>
          <cell r="AF533" t="str">
            <v>M1575</v>
          </cell>
          <cell r="AG533" t="str">
            <v>Tinta látex acrílica</v>
          </cell>
          <cell r="AH533" t="str">
            <v>l</v>
          </cell>
          <cell r="AI533">
            <v>11.3292</v>
          </cell>
        </row>
        <row r="534">
          <cell r="E534" t="str">
            <v>LN</v>
          </cell>
          <cell r="F534" t="str">
            <v>RP</v>
          </cell>
          <cell r="G534" t="str">
            <v>P</v>
          </cell>
          <cell r="AF534" t="str">
            <v>M1577</v>
          </cell>
          <cell r="AG534" t="str">
            <v>Plástico a frio para alto relevo</v>
          </cell>
          <cell r="AH534" t="str">
            <v>kg</v>
          </cell>
          <cell r="AI534">
            <v>30.520299999999999</v>
          </cell>
        </row>
        <row r="535">
          <cell r="C535" t="str">
            <v>Custo unitário total de transporte</v>
          </cell>
          <cell r="I535" t="str">
            <v>-</v>
          </cell>
          <cell r="AF535" t="str">
            <v>M1578</v>
          </cell>
          <cell r="AG535" t="str">
            <v>Plástico a frio para estrutura</v>
          </cell>
          <cell r="AH535" t="str">
            <v>kg</v>
          </cell>
          <cell r="AI535">
            <v>34.564700000000002</v>
          </cell>
        </row>
        <row r="536">
          <cell r="C536">
            <v>4816118</v>
          </cell>
          <cell r="D536" t="str">
            <v>m</v>
          </cell>
          <cell r="E536" t="str">
            <v>Custo unitário direto total</v>
          </cell>
          <cell r="I536">
            <v>69.500504905361169</v>
          </cell>
          <cell r="AF536" t="str">
            <v>M1585</v>
          </cell>
          <cell r="AG536" t="str">
            <v>Massa termoplástica para aplicação em alto relevo</v>
          </cell>
          <cell r="AH536" t="str">
            <v>kg</v>
          </cell>
          <cell r="AI536">
            <v>8.5984999999999996</v>
          </cell>
        </row>
        <row r="537">
          <cell r="AF537" t="str">
            <v>M1591</v>
          </cell>
          <cell r="AG537" t="str">
            <v>Suporte polimérico ecológico maciço colapsível para placa de sinalização - D = 6,5 cm</v>
          </cell>
          <cell r="AH537" t="str">
            <v>m</v>
          </cell>
          <cell r="AI537">
            <v>147.48259999999999</v>
          </cell>
        </row>
        <row r="538">
          <cell r="AF538" t="str">
            <v>M1600</v>
          </cell>
          <cell r="AG538" t="str">
            <v>Trilho TR 25 usado</v>
          </cell>
          <cell r="AH538" t="str">
            <v>kg</v>
          </cell>
          <cell r="AI538">
            <v>3.0550000000000002</v>
          </cell>
        </row>
        <row r="539">
          <cell r="I539" t="str">
            <v>DNIT</v>
          </cell>
          <cell r="AF539" t="str">
            <v>M1602</v>
          </cell>
          <cell r="AG539" t="str">
            <v>Trilho TR 37 usado</v>
          </cell>
          <cell r="AH539" t="str">
            <v>kg</v>
          </cell>
          <cell r="AI539">
            <v>3.0550000000000002</v>
          </cell>
        </row>
        <row r="540">
          <cell r="AF540" t="str">
            <v>M1603</v>
          </cell>
          <cell r="AG540" t="str">
            <v>Trilho TR 45 usado</v>
          </cell>
          <cell r="AH540" t="str">
            <v>kg</v>
          </cell>
          <cell r="AI540">
            <v>3.0550000000000002</v>
          </cell>
        </row>
        <row r="541">
          <cell r="D541" t="str">
            <v>Outubro/2019</v>
          </cell>
          <cell r="G541" t="str">
            <v>Produção da equipe</v>
          </cell>
          <cell r="H541">
            <v>6</v>
          </cell>
          <cell r="I541" t="str">
            <v>dm³</v>
          </cell>
          <cell r="AF541" t="str">
            <v>M1604</v>
          </cell>
          <cell r="AG541" t="str">
            <v>Presilha CF 25</v>
          </cell>
          <cell r="AH541" t="str">
            <v>un</v>
          </cell>
          <cell r="AI541">
            <v>11.3969</v>
          </cell>
        </row>
        <row r="542">
          <cell r="H542" t="str">
            <v>Valores em reais (R$)</v>
          </cell>
          <cell r="AF542" t="str">
            <v>M1605</v>
          </cell>
          <cell r="AG542" t="str">
            <v>Trilho TR 57 usado</v>
          </cell>
          <cell r="AH542" t="str">
            <v>kg</v>
          </cell>
          <cell r="AI542">
            <v>3.0550000000000002</v>
          </cell>
        </row>
        <row r="543">
          <cell r="C543" t="str">
            <v>Quantidade</v>
          </cell>
          <cell r="D543" t="str">
            <v>Utilização</v>
          </cell>
          <cell r="F543" t="str">
            <v>Custo Horário</v>
          </cell>
          <cell r="I543" t="str">
            <v>Custo</v>
          </cell>
          <cell r="AF543" t="str">
            <v>M1606</v>
          </cell>
          <cell r="AG543" t="str">
            <v>Trilho TR 68 usado</v>
          </cell>
          <cell r="AH543" t="str">
            <v>kg</v>
          </cell>
          <cell r="AI543">
            <v>3.0550000000000002</v>
          </cell>
        </row>
        <row r="544">
          <cell r="D544" t="str">
            <v>Operativa</v>
          </cell>
          <cell r="E544" t="str">
            <v>Improdutiva</v>
          </cell>
          <cell r="F544" t="str">
            <v>Produtivo</v>
          </cell>
          <cell r="G544" t="str">
            <v>Improdutivo</v>
          </cell>
          <cell r="I544" t="str">
            <v>Horário Total</v>
          </cell>
          <cell r="AF544" t="str">
            <v>M1609</v>
          </cell>
          <cell r="AG544" t="str">
            <v>Tubo de aço galvanizado BSP classe leve - D = 40 mm</v>
          </cell>
          <cell r="AH544" t="str">
            <v>m</v>
          </cell>
          <cell r="AI544">
            <v>15.9155</v>
          </cell>
        </row>
        <row r="545">
          <cell r="G545" t="str">
            <v>Custo horário total de equipamentos</v>
          </cell>
          <cell r="AF545" t="str">
            <v>M1614</v>
          </cell>
          <cell r="AG545" t="str">
            <v>Tubo de aço galvanizado BSP classe leve - D = 50 mm</v>
          </cell>
          <cell r="AH545" t="str">
            <v>m</v>
          </cell>
          <cell r="AI545">
            <v>24.69</v>
          </cell>
        </row>
        <row r="546">
          <cell r="C546" t="str">
            <v>Quantidade</v>
          </cell>
          <cell r="D546" t="str">
            <v>Unidade</v>
          </cell>
          <cell r="E546" t="str">
            <v>Custo Horário</v>
          </cell>
          <cell r="G546" t="str">
            <v>Custo Horário Total</v>
          </cell>
          <cell r="AF546" t="str">
            <v>M1616</v>
          </cell>
          <cell r="AG546" t="str">
            <v>Tubo de aço galvanizado BSP classe leve - D = 20 mm</v>
          </cell>
          <cell r="AH546" t="str">
            <v>m</v>
          </cell>
          <cell r="AI546">
            <v>5.5385</v>
          </cell>
        </row>
        <row r="547">
          <cell r="C547">
            <v>1</v>
          </cell>
          <cell r="D547" t="str">
            <v>h</v>
          </cell>
          <cell r="F547">
            <v>24.468900000000001</v>
          </cell>
          <cell r="I547">
            <v>24.468900000000001</v>
          </cell>
          <cell r="AF547" t="str">
            <v>M1617</v>
          </cell>
          <cell r="AG547" t="str">
            <v>Tubo de aço galvanizado BSP classe leve - D = 80 mm</v>
          </cell>
          <cell r="AH547" t="str">
            <v>m</v>
          </cell>
          <cell r="AI547">
            <v>36.218200000000003</v>
          </cell>
        </row>
        <row r="548">
          <cell r="C548" t="str">
            <v>Custo horário total de mão de obra</v>
          </cell>
          <cell r="H548">
            <v>24.468900000000001</v>
          </cell>
          <cell r="AF548" t="str">
            <v>M1618</v>
          </cell>
          <cell r="AG548" t="str">
            <v>Tubo de aço galvanizado BSP classe leve - D = 100 mm</v>
          </cell>
          <cell r="AH548" t="str">
            <v>m</v>
          </cell>
          <cell r="AI548">
            <v>48.160299999999999</v>
          </cell>
        </row>
        <row r="549">
          <cell r="C549" t="str">
            <v>Custo horário total de execução</v>
          </cell>
          <cell r="I549">
            <v>24.468900000000001</v>
          </cell>
          <cell r="AF549" t="str">
            <v>M1624</v>
          </cell>
          <cell r="AG549" t="str">
            <v>Suporte polimérico ecológico maciço colapsível para placa de sinalização - seção quadrada de 8 cm</v>
          </cell>
          <cell r="AH549" t="str">
            <v>m</v>
          </cell>
          <cell r="AI549">
            <v>188.77770000000001</v>
          </cell>
        </row>
        <row r="550">
          <cell r="C550" t="str">
            <v>Custo unitário de execução</v>
          </cell>
          <cell r="I550">
            <v>4.0781499999999999</v>
          </cell>
          <cell r="AF550" t="str">
            <v>M1636</v>
          </cell>
          <cell r="AG550" t="str">
            <v>Suporte polimérico ecológico maciço colapsível para placa de sinalização - seção retangular de 7 x 15 cm</v>
          </cell>
          <cell r="AH550" t="str">
            <v>m</v>
          </cell>
          <cell r="AI550">
            <v>377.55549999999999</v>
          </cell>
        </row>
        <row r="551">
          <cell r="G551" t="str">
            <v>Custo do FIC</v>
          </cell>
          <cell r="I551" t="str">
            <v>-</v>
          </cell>
          <cell r="AF551" t="str">
            <v>M1638</v>
          </cell>
          <cell r="AG551" t="str">
            <v>Mourão de madeira - H = 2,10 m e D = 10 cm</v>
          </cell>
          <cell r="AH551" t="str">
            <v>un</v>
          </cell>
          <cell r="AI551">
            <v>17.0595</v>
          </cell>
        </row>
        <row r="552">
          <cell r="G552" t="str">
            <v>Custo do FIT</v>
          </cell>
          <cell r="I552" t="str">
            <v>-</v>
          </cell>
          <cell r="AF552" t="str">
            <v>M1639</v>
          </cell>
          <cell r="AG552" t="str">
            <v>Mourão de madeira - H = 2,20 m e D = 15 cm</v>
          </cell>
          <cell r="AH552" t="str">
            <v>un</v>
          </cell>
          <cell r="AI552">
            <v>35.991</v>
          </cell>
        </row>
        <row r="553">
          <cell r="C553" t="str">
            <v>Quantidade</v>
          </cell>
          <cell r="D553" t="str">
            <v>Unidade</v>
          </cell>
          <cell r="E553" t="str">
            <v>Preço Unitário</v>
          </cell>
          <cell r="G553" t="str">
            <v>Custo Unitário</v>
          </cell>
          <cell r="AF553" t="str">
            <v>M1640</v>
          </cell>
          <cell r="AG553" t="str">
            <v>Nonel iniciador com 300 m</v>
          </cell>
          <cell r="AH553" t="str">
            <v>un</v>
          </cell>
          <cell r="AI553">
            <v>231.7638</v>
          </cell>
        </row>
        <row r="554">
          <cell r="C554">
            <v>1</v>
          </cell>
          <cell r="D554" t="str">
            <v>dm³</v>
          </cell>
          <cell r="F554">
            <v>60.380600000000001</v>
          </cell>
          <cell r="I554">
            <v>60.380600000000001</v>
          </cell>
          <cell r="AF554" t="str">
            <v>M1641</v>
          </cell>
          <cell r="AG554" t="str">
            <v>Bit de botão esférico - D = 3 1/2"</v>
          </cell>
          <cell r="AH554" t="str">
            <v>un</v>
          </cell>
          <cell r="AI554">
            <v>1090.797</v>
          </cell>
        </row>
        <row r="555">
          <cell r="C555" t="str">
            <v>Custo unitário total de material</v>
          </cell>
          <cell r="I555">
            <v>60.380600000000001</v>
          </cell>
          <cell r="AF555" t="str">
            <v>M1642</v>
          </cell>
          <cell r="AG555" t="str">
            <v>Bit de botão esférico - D = 5 1/8"</v>
          </cell>
          <cell r="AH555" t="str">
            <v>un</v>
          </cell>
          <cell r="AI555">
            <v>3521.6404000000002</v>
          </cell>
        </row>
        <row r="556">
          <cell r="C556" t="str">
            <v>Quantidade</v>
          </cell>
          <cell r="D556" t="str">
            <v>Unidade</v>
          </cell>
          <cell r="E556" t="str">
            <v>Custo Unitário</v>
          </cell>
          <cell r="G556" t="str">
            <v>Custo Unitário</v>
          </cell>
          <cell r="AF556" t="str">
            <v>M1643</v>
          </cell>
          <cell r="AG556" t="str">
            <v>Bit de botão esférico - D = 7 5/8"</v>
          </cell>
          <cell r="AH556" t="str">
            <v>un</v>
          </cell>
          <cell r="AI556">
            <v>8131.8639999999996</v>
          </cell>
        </row>
        <row r="557">
          <cell r="C557" t="str">
            <v>Custo total de atividades auxiliares</v>
          </cell>
          <cell r="AF557" t="str">
            <v>M1644</v>
          </cell>
          <cell r="AG557" t="str">
            <v>Bit de botão esférico - D = 9 7/8"</v>
          </cell>
          <cell r="AH557" t="str">
            <v>un</v>
          </cell>
          <cell r="AI557">
            <v>9216.8081000000002</v>
          </cell>
        </row>
        <row r="558">
          <cell r="G558" t="str">
            <v>Subtotal</v>
          </cell>
          <cell r="AF558" t="str">
            <v>M1649</v>
          </cell>
          <cell r="AG558" t="str">
            <v>Bit de botão ST 68 - D = 102 mm</v>
          </cell>
          <cell r="AH558" t="str">
            <v>un</v>
          </cell>
          <cell r="AI558">
            <v>3320.0421999999999</v>
          </cell>
        </row>
        <row r="559">
          <cell r="C559" t="str">
            <v>Código</v>
          </cell>
          <cell r="D559" t="str">
            <v>Quantidade</v>
          </cell>
          <cell r="E559" t="str">
            <v>Unidade</v>
          </cell>
          <cell r="F559" t="str">
            <v>Custo Unitário</v>
          </cell>
          <cell r="H559" t="str">
            <v>Custo Unitário</v>
          </cell>
          <cell r="AF559" t="str">
            <v>M1653</v>
          </cell>
          <cell r="AG559" t="str">
            <v>Bit piloto para sistema autoperfurante de 76 mm</v>
          </cell>
          <cell r="AH559" t="str">
            <v>un</v>
          </cell>
          <cell r="AI559">
            <v>1106.7670000000001</v>
          </cell>
        </row>
        <row r="560">
          <cell r="C560">
            <v>5914655</v>
          </cell>
          <cell r="D560">
            <v>5.3E-3</v>
          </cell>
          <cell r="E560" t="str">
            <v>t</v>
          </cell>
          <cell r="G560">
            <v>22.49</v>
          </cell>
          <cell r="I560">
            <v>0.119197</v>
          </cell>
          <cell r="AF560" t="str">
            <v>M1655</v>
          </cell>
          <cell r="AG560" t="str">
            <v>Tubo de PVC esgoto - D = 50 mm</v>
          </cell>
          <cell r="AH560" t="str">
            <v>m</v>
          </cell>
          <cell r="AI560">
            <v>7.2603999999999997</v>
          </cell>
        </row>
        <row r="561">
          <cell r="C561" t="str">
            <v>Custo unitário total de tempo fixo</v>
          </cell>
          <cell r="I561">
            <v>0.119197</v>
          </cell>
          <cell r="AF561" t="str">
            <v>M1656</v>
          </cell>
          <cell r="AG561" t="str">
            <v>Tubo de PVC esgoto - D = 75 mm</v>
          </cell>
          <cell r="AH561" t="str">
            <v>m</v>
          </cell>
          <cell r="AI561">
            <v>7.4611999999999998</v>
          </cell>
        </row>
        <row r="562">
          <cell r="C562" t="str">
            <v>Quantidade</v>
          </cell>
          <cell r="D562" t="str">
            <v>Unidade</v>
          </cell>
          <cell r="E562" t="str">
            <v>DMT</v>
          </cell>
          <cell r="I562" t="str">
            <v>Custo Unitário</v>
          </cell>
          <cell r="AF562" t="str">
            <v>M1662</v>
          </cell>
          <cell r="AG562" t="str">
            <v>Suporte em madeira de eucalipto tratado de 8 x 8 cm</v>
          </cell>
          <cell r="AH562" t="str">
            <v>m</v>
          </cell>
          <cell r="AI562">
            <v>16.883500000000002</v>
          </cell>
        </row>
        <row r="563">
          <cell r="E563" t="str">
            <v>LN</v>
          </cell>
          <cell r="F563" t="str">
            <v>RP</v>
          </cell>
          <cell r="G563" t="str">
            <v>P</v>
          </cell>
          <cell r="AF563" t="str">
            <v>M1664</v>
          </cell>
          <cell r="AG563" t="str">
            <v>Bit rotativo - D = 127 mm</v>
          </cell>
          <cell r="AH563" t="str">
            <v>un</v>
          </cell>
          <cell r="AI563">
            <v>1645.7230999999999</v>
          </cell>
        </row>
        <row r="564">
          <cell r="C564">
            <v>5.3E-3</v>
          </cell>
          <cell r="D564" t="str">
            <v>tkm</v>
          </cell>
          <cell r="E564">
            <v>5914449</v>
          </cell>
          <cell r="F564">
            <v>5914464</v>
          </cell>
          <cell r="G564">
            <v>5914479</v>
          </cell>
          <cell r="AF564" t="str">
            <v>M1665</v>
          </cell>
          <cell r="AG564" t="str">
            <v>Tubo de PVC roscável de 1 1/2"</v>
          </cell>
          <cell r="AH564" t="str">
            <v>m</v>
          </cell>
          <cell r="AI564">
            <v>17.848299999999998</v>
          </cell>
        </row>
        <row r="565">
          <cell r="C565" t="str">
            <v>Custo unitário total de transporte</v>
          </cell>
          <cell r="I565" t="str">
            <v>-</v>
          </cell>
          <cell r="AF565" t="str">
            <v>M1673</v>
          </cell>
          <cell r="AG565" t="str">
            <v>Tubo de PVC roscável de 4"</v>
          </cell>
          <cell r="AH565" t="str">
            <v>m</v>
          </cell>
          <cell r="AI565">
            <v>82.432900000000004</v>
          </cell>
        </row>
        <row r="566">
          <cell r="C566" t="str">
            <v>0307732</v>
          </cell>
          <cell r="D566" t="str">
            <v>dm³</v>
          </cell>
          <cell r="E566" t="str">
            <v>Custo unitário direto total</v>
          </cell>
          <cell r="I566">
            <v>64.577946999999995</v>
          </cell>
          <cell r="AF566" t="str">
            <v>M1674</v>
          </cell>
          <cell r="AG566" t="str">
            <v>Braçadeira para tubo de aço para ar comprimido - tipo Alvenius - D = 150 mm</v>
          </cell>
          <cell r="AH566" t="str">
            <v>un</v>
          </cell>
          <cell r="AI566">
            <v>44.508800000000001</v>
          </cell>
        </row>
        <row r="567">
          <cell r="AF567" t="str">
            <v>M1675</v>
          </cell>
          <cell r="AG567" t="str">
            <v>Tubo de PVC roscável de 6"</v>
          </cell>
          <cell r="AH567" t="str">
            <v>m</v>
          </cell>
          <cell r="AI567">
            <v>98.184799999999996</v>
          </cell>
        </row>
        <row r="568">
          <cell r="AF568" t="str">
            <v>M1702</v>
          </cell>
          <cell r="AG568" t="str">
            <v>Tubo de ventilação flexível com acessórios - D = 1,2 m</v>
          </cell>
          <cell r="AH568" t="str">
            <v>m</v>
          </cell>
          <cell r="AI568">
            <v>136.4821</v>
          </cell>
        </row>
        <row r="569">
          <cell r="I569" t="str">
            <v>DNIT</v>
          </cell>
          <cell r="AF569" t="str">
            <v>M1719</v>
          </cell>
          <cell r="AG569" t="str">
            <v>Broca integral H19 - D = 24 mm e L = 0,4 m</v>
          </cell>
          <cell r="AH569" t="str">
            <v>un</v>
          </cell>
          <cell r="AI569">
            <v>414.62279999999998</v>
          </cell>
        </row>
        <row r="570">
          <cell r="AF570" t="str">
            <v>M1720</v>
          </cell>
          <cell r="AG570" t="str">
            <v>Geotêxtil não-tecido agulhado RT 10</v>
          </cell>
          <cell r="AH570" t="str">
            <v>m²</v>
          </cell>
          <cell r="AI570">
            <v>3.6318999999999999</v>
          </cell>
        </row>
        <row r="571">
          <cell r="D571" t="str">
            <v>Outubro/2019</v>
          </cell>
          <cell r="G571" t="str">
            <v>Produção da equipe</v>
          </cell>
          <cell r="H571">
            <v>1.17</v>
          </cell>
          <cell r="I571" t="str">
            <v>un</v>
          </cell>
          <cell r="AF571" t="str">
            <v>M1731</v>
          </cell>
          <cell r="AG571" t="str">
            <v>Haste de perfuração simples de jet grouting de 88,9 x 300 mm</v>
          </cell>
          <cell r="AH571" t="str">
            <v>un</v>
          </cell>
          <cell r="AI571">
            <v>1728.0700999999999</v>
          </cell>
        </row>
        <row r="572">
          <cell r="H572" t="str">
            <v>Valores em reais (R$)</v>
          </cell>
          <cell r="AF572" t="str">
            <v>M1732</v>
          </cell>
          <cell r="AG572" t="str">
            <v>Luva para tubo de aço galvanizado BSP classe leve - D = 50 mm</v>
          </cell>
          <cell r="AH572" t="str">
            <v>un</v>
          </cell>
          <cell r="AI572">
            <v>6.4854000000000003</v>
          </cell>
        </row>
        <row r="573">
          <cell r="C573" t="str">
            <v>Quantidade</v>
          </cell>
          <cell r="D573" t="str">
            <v>Utilização</v>
          </cell>
          <cell r="F573" t="str">
            <v>Custo Horário</v>
          </cell>
          <cell r="I573" t="str">
            <v>Custo</v>
          </cell>
          <cell r="AF573" t="str">
            <v>M1733</v>
          </cell>
          <cell r="AG573" t="str">
            <v>Manta drenante de malha de polietileno e geotêxtil numa face tipo Drentex M Plus ou similar</v>
          </cell>
          <cell r="AH573" t="str">
            <v>m²</v>
          </cell>
          <cell r="AI573">
            <v>24.898</v>
          </cell>
        </row>
        <row r="574">
          <cell r="D574" t="str">
            <v>Operativa</v>
          </cell>
          <cell r="E574" t="str">
            <v>Improdutiva</v>
          </cell>
          <cell r="F574" t="str">
            <v>Produtivo</v>
          </cell>
          <cell r="G574" t="str">
            <v>Improdutivo</v>
          </cell>
          <cell r="I574" t="str">
            <v>Horário Total</v>
          </cell>
          <cell r="AF574" t="str">
            <v>M1735</v>
          </cell>
          <cell r="AG574" t="str">
            <v>Punho de perfuração ST 68 de 80 mm</v>
          </cell>
          <cell r="AH574" t="str">
            <v>un</v>
          </cell>
          <cell r="AI574">
            <v>6105.1643999999997</v>
          </cell>
        </row>
        <row r="575">
          <cell r="C575">
            <v>1</v>
          </cell>
          <cell r="D575">
            <v>1</v>
          </cell>
          <cell r="E575">
            <v>0</v>
          </cell>
          <cell r="F575">
            <v>50.213500000000003</v>
          </cell>
          <cell r="G575">
            <v>40.902000000000001</v>
          </cell>
          <cell r="I575">
            <v>50.213500000000003</v>
          </cell>
          <cell r="AF575" t="str">
            <v>M1736</v>
          </cell>
          <cell r="AG575" t="str">
            <v>Resina de poliéster para ancoragem</v>
          </cell>
          <cell r="AH575" t="str">
            <v>kg</v>
          </cell>
          <cell r="AI575">
            <v>31.599799999999998</v>
          </cell>
        </row>
        <row r="576">
          <cell r="G576" t="str">
            <v>Custo horário total de equipamentos</v>
          </cell>
          <cell r="I576">
            <v>50.213500000000003</v>
          </cell>
          <cell r="AF576" t="str">
            <v>M1737</v>
          </cell>
          <cell r="AG576" t="str">
            <v>Tubo de aço para ar comprimido - tipo Alvenius - D = 150 mm ou similar</v>
          </cell>
          <cell r="AH576" t="str">
            <v>m</v>
          </cell>
          <cell r="AI576">
            <v>40.317399999999999</v>
          </cell>
        </row>
        <row r="577">
          <cell r="C577" t="str">
            <v>Quantidade</v>
          </cell>
          <cell r="D577" t="str">
            <v>Unidade</v>
          </cell>
          <cell r="E577" t="str">
            <v>Custo Horário</v>
          </cell>
          <cell r="G577" t="str">
            <v>Custo Horário Total</v>
          </cell>
          <cell r="AF577" t="str">
            <v>M1738</v>
          </cell>
          <cell r="AG577" t="str">
            <v>Verniz silicone hidrorrepelente</v>
          </cell>
          <cell r="AH577" t="str">
            <v>l</v>
          </cell>
          <cell r="AI577">
            <v>10.8344</v>
          </cell>
        </row>
        <row r="578">
          <cell r="C578">
            <v>2</v>
          </cell>
          <cell r="D578" t="str">
            <v>h</v>
          </cell>
          <cell r="F578">
            <v>25.4223</v>
          </cell>
          <cell r="I578">
            <v>50.8446</v>
          </cell>
          <cell r="AF578" t="str">
            <v>M1739</v>
          </cell>
          <cell r="AG578" t="str">
            <v>Haste para perfuratriz de esteira T45 de 3,6 m</v>
          </cell>
          <cell r="AH578" t="str">
            <v>un</v>
          </cell>
          <cell r="AI578">
            <v>3064.3764000000001</v>
          </cell>
        </row>
        <row r="579">
          <cell r="C579" t="str">
            <v>Custo horário total de mão de obra</v>
          </cell>
          <cell r="H579">
            <v>50.8446</v>
          </cell>
          <cell r="AF579" t="str">
            <v>M1740</v>
          </cell>
          <cell r="AG579" t="str">
            <v>Punho para perfuratriz de esteira T45</v>
          </cell>
          <cell r="AH579" t="str">
            <v>un</v>
          </cell>
          <cell r="AI579">
            <v>1659.9148</v>
          </cell>
        </row>
        <row r="580">
          <cell r="C580" t="str">
            <v>Custo horário total de execução</v>
          </cell>
          <cell r="I580">
            <v>101.0581</v>
          </cell>
          <cell r="AF580" t="str">
            <v>M1741</v>
          </cell>
          <cell r="AG580" t="str">
            <v>Luva para perfuratriz de esteira T45</v>
          </cell>
          <cell r="AH580" t="str">
            <v>un</v>
          </cell>
          <cell r="AI580">
            <v>491.48770000000002</v>
          </cell>
        </row>
        <row r="581">
          <cell r="C581" t="str">
            <v>Custo unitário de execução</v>
          </cell>
          <cell r="I581">
            <v>86.37444444444445</v>
          </cell>
          <cell r="AF581" t="str">
            <v>M1742</v>
          </cell>
          <cell r="AG581" t="str">
            <v>Bit de botão com rosca T45 - D = 89 mm</v>
          </cell>
          <cell r="AH581" t="str">
            <v>un</v>
          </cell>
          <cell r="AI581">
            <v>1244.9360999999999</v>
          </cell>
        </row>
        <row r="582">
          <cell r="G582" t="str">
            <v>Custo do FIC</v>
          </cell>
          <cell r="I582" t="str">
            <v>-</v>
          </cell>
          <cell r="AF582" t="str">
            <v>M1747</v>
          </cell>
          <cell r="AG582" t="str">
            <v>Tubo de aço para sistema autoperfurante de 76 mm</v>
          </cell>
          <cell r="AH582" t="str">
            <v>m</v>
          </cell>
          <cell r="AI582">
            <v>134.49</v>
          </cell>
        </row>
        <row r="583">
          <cell r="G583" t="str">
            <v>Custo do FIT</v>
          </cell>
          <cell r="I583" t="str">
            <v>-</v>
          </cell>
          <cell r="AF583" t="str">
            <v>M1748</v>
          </cell>
          <cell r="AG583" t="str">
            <v>Tubo iniciador de aço com 3 m para sistema autoperfurante de 76 mm com anel do bit piloto</v>
          </cell>
          <cell r="AH583" t="str">
            <v>un</v>
          </cell>
          <cell r="AI583">
            <v>1195.0999999999999</v>
          </cell>
        </row>
        <row r="584">
          <cell r="C584" t="str">
            <v>Quantidade</v>
          </cell>
          <cell r="D584" t="str">
            <v>Unidade</v>
          </cell>
          <cell r="E584" t="str">
            <v>Preço Unitário</v>
          </cell>
          <cell r="G584" t="str">
            <v>Custo Unitário</v>
          </cell>
          <cell r="AF584" t="str">
            <v>M1749</v>
          </cell>
          <cell r="AG584" t="str">
            <v>Tubo de perfuração ST 68 de 87 x 1.830 mm</v>
          </cell>
          <cell r="AH584" t="str">
            <v>un</v>
          </cell>
          <cell r="AI584">
            <v>6099.4813000000004</v>
          </cell>
        </row>
        <row r="585">
          <cell r="C585" t="str">
            <v>Custo unitário total de material</v>
          </cell>
          <cell r="AF585" t="str">
            <v>M1750</v>
          </cell>
          <cell r="AG585" t="str">
            <v>Hidromonitor com bico de injeção para jet grouting - D = 88,9 mm</v>
          </cell>
          <cell r="AH585" t="str">
            <v>un</v>
          </cell>
          <cell r="AI585">
            <v>6745.8684000000003</v>
          </cell>
        </row>
        <row r="586">
          <cell r="C586" t="str">
            <v>Quantidade</v>
          </cell>
          <cell r="D586" t="str">
            <v>Unidade</v>
          </cell>
          <cell r="E586" t="str">
            <v>Custo Unitário</v>
          </cell>
          <cell r="G586" t="str">
            <v>Custo Unitário</v>
          </cell>
          <cell r="AF586" t="str">
            <v>M1751</v>
          </cell>
          <cell r="AG586" t="str">
            <v>Válvula manchete - D = 73 mm</v>
          </cell>
          <cell r="AH586" t="str">
            <v>un</v>
          </cell>
          <cell r="AI586">
            <v>4.2</v>
          </cell>
        </row>
        <row r="587">
          <cell r="C587" t="str">
            <v>Custo total de atividades auxiliares</v>
          </cell>
          <cell r="AF587" t="str">
            <v>M1752</v>
          </cell>
          <cell r="AG587" t="str">
            <v>Borracha para obturador mecânico</v>
          </cell>
          <cell r="AH587" t="str">
            <v>un</v>
          </cell>
          <cell r="AI587">
            <v>280</v>
          </cell>
        </row>
        <row r="588">
          <cell r="G588" t="str">
            <v>Subtotal</v>
          </cell>
          <cell r="AF588" t="str">
            <v>M1753</v>
          </cell>
          <cell r="AG588" t="str">
            <v>Disco de corte diamantado para concreto 105 mm ou 110 mm</v>
          </cell>
          <cell r="AH588" t="str">
            <v>un</v>
          </cell>
          <cell r="AI588">
            <v>28.805800000000001</v>
          </cell>
        </row>
        <row r="589">
          <cell r="C589" t="str">
            <v>Código</v>
          </cell>
          <cell r="D589" t="str">
            <v>Quantidade</v>
          </cell>
          <cell r="E589" t="str">
            <v>Unidade</v>
          </cell>
          <cell r="F589" t="str">
            <v>Custo Unitário</v>
          </cell>
          <cell r="H589" t="str">
            <v>Custo Unitário</v>
          </cell>
          <cell r="AF589" t="str">
            <v>M1755</v>
          </cell>
          <cell r="AG589" t="str">
            <v>Pó calcário</v>
          </cell>
          <cell r="AH589" t="str">
            <v>kg</v>
          </cell>
          <cell r="AI589">
            <v>0.15609999999999999</v>
          </cell>
        </row>
        <row r="590">
          <cell r="C590" t="str">
            <v>Custo unitário total de tempo fixo</v>
          </cell>
          <cell r="AF590" t="str">
            <v>M1756</v>
          </cell>
          <cell r="AG590" t="str">
            <v>Material formador da camada protetora de hidrossemeadura</v>
          </cell>
          <cell r="AH590" t="str">
            <v>kg</v>
          </cell>
          <cell r="AI590">
            <v>1.2809999999999999</v>
          </cell>
        </row>
        <row r="591">
          <cell r="C591" t="str">
            <v>Quantidade</v>
          </cell>
          <cell r="D591" t="str">
            <v>Unidade</v>
          </cell>
          <cell r="E591" t="str">
            <v>DMT</v>
          </cell>
          <cell r="I591" t="str">
            <v>Custo Unitário</v>
          </cell>
          <cell r="AF591" t="str">
            <v>M1765</v>
          </cell>
          <cell r="AG591" t="str">
            <v>Tubo de aço SCH 40 - D = 65 mm</v>
          </cell>
          <cell r="AH591" t="str">
            <v>m</v>
          </cell>
          <cell r="AI591">
            <v>56.115600000000001</v>
          </cell>
        </row>
        <row r="592">
          <cell r="E592" t="str">
            <v>LN</v>
          </cell>
          <cell r="F592" t="str">
            <v>RP</v>
          </cell>
          <cell r="G592" t="str">
            <v>P</v>
          </cell>
          <cell r="AF592" t="str">
            <v>M1773</v>
          </cell>
          <cell r="AG592" t="str">
            <v>Ancoragem regulável para estais TSR para 19 cordoalhas - D = 15,7 mm</v>
          </cell>
          <cell r="AH592" t="str">
            <v>un</v>
          </cell>
          <cell r="AI592">
            <v>48411.2428</v>
          </cell>
        </row>
        <row r="593">
          <cell r="C593" t="str">
            <v>Custo unitário total de transporte</v>
          </cell>
          <cell r="I593" t="str">
            <v>-</v>
          </cell>
          <cell r="AF593" t="str">
            <v>M1774</v>
          </cell>
          <cell r="AG593" t="str">
            <v>Ancoragem regulável para estais TSR para 31 cordoalhas - D = 15,7 mm</v>
          </cell>
          <cell r="AH593" t="str">
            <v>un</v>
          </cell>
          <cell r="AI593">
            <v>78995.4179</v>
          </cell>
        </row>
        <row r="594">
          <cell r="C594">
            <v>3806418</v>
          </cell>
          <cell r="D594" t="str">
            <v>un</v>
          </cell>
          <cell r="E594" t="str">
            <v>Custo unitário direto total</v>
          </cell>
          <cell r="I594">
            <v>86.37444444444445</v>
          </cell>
          <cell r="AF594" t="str">
            <v>M1775</v>
          </cell>
          <cell r="AG594" t="str">
            <v>Ancoragem regulável para estais TSR para 37 cordoalhas - D = 15,7 mm</v>
          </cell>
          <cell r="AH594" t="str">
            <v>un</v>
          </cell>
          <cell r="AI594">
            <v>94285.642600000006</v>
          </cell>
        </row>
        <row r="595">
          <cell r="AF595" t="str">
            <v>M1776</v>
          </cell>
          <cell r="AG595" t="str">
            <v>Ancoragem regulável para estais TSR para 55 cordoalhas - D = 15,7 mm</v>
          </cell>
          <cell r="AH595" t="str">
            <v>un</v>
          </cell>
          <cell r="AI595">
            <v>140160.22080000001</v>
          </cell>
        </row>
        <row r="596">
          <cell r="AF596" t="str">
            <v>M1777</v>
          </cell>
          <cell r="AG596" t="str">
            <v>Ancoragem regulável para estais TSR para 61 cordoalhas - D = 15,7 mm</v>
          </cell>
          <cell r="AH596" t="str">
            <v>un</v>
          </cell>
          <cell r="AI596">
            <v>160704.11170000001</v>
          </cell>
        </row>
        <row r="597">
          <cell r="I597" t="str">
            <v>DNIT</v>
          </cell>
          <cell r="AF597" t="str">
            <v>M1778</v>
          </cell>
          <cell r="AG597" t="str">
            <v>Ancoragem regulável para estais TSR para 73 cordoalhas - D = 15,7 mm</v>
          </cell>
          <cell r="AH597" t="str">
            <v>un</v>
          </cell>
          <cell r="AI597">
            <v>199730.4615</v>
          </cell>
        </row>
        <row r="598">
          <cell r="AF598" t="str">
            <v>M1779</v>
          </cell>
          <cell r="AG598" t="str">
            <v>Ancoragem regulável para estais TSR para 91 cordoalhas - D = 15,7 mm</v>
          </cell>
          <cell r="AH598" t="str">
            <v>un</v>
          </cell>
          <cell r="AI598">
            <v>283151.47169999999</v>
          </cell>
        </row>
        <row r="599">
          <cell r="D599" t="str">
            <v>Outubro/2019</v>
          </cell>
          <cell r="G599" t="str">
            <v>Produção da equipe</v>
          </cell>
          <cell r="H599">
            <v>1</v>
          </cell>
          <cell r="I599" t="str">
            <v>m</v>
          </cell>
          <cell r="AF599" t="str">
            <v>M1780</v>
          </cell>
          <cell r="AG599" t="str">
            <v>Ancoragem fixa para estais TSR para 19 cordoalhas - D = 15,7 mm</v>
          </cell>
          <cell r="AH599" t="str">
            <v>un</v>
          </cell>
          <cell r="AI599">
            <v>41658.441700000003</v>
          </cell>
        </row>
        <row r="600">
          <cell r="H600" t="str">
            <v>Valores em reais (R$)</v>
          </cell>
          <cell r="AF600" t="str">
            <v>M1781</v>
          </cell>
          <cell r="AG600" t="str">
            <v>Ancoragem fixa para estais TSR para 31 cordoalhas - D = 15,7 mm</v>
          </cell>
          <cell r="AH600" t="str">
            <v>un</v>
          </cell>
          <cell r="AI600">
            <v>67965.001999999993</v>
          </cell>
        </row>
        <row r="601">
          <cell r="C601" t="str">
            <v>Quantidade</v>
          </cell>
          <cell r="D601" t="str">
            <v>Utilização</v>
          </cell>
          <cell r="F601" t="str">
            <v>Custo Horário</v>
          </cell>
          <cell r="I601" t="str">
            <v>Custo</v>
          </cell>
          <cell r="AF601" t="str">
            <v>M1782</v>
          </cell>
          <cell r="AG601" t="str">
            <v>Ancoragem fixa para estais TSR para 37 cordoalhas - D = 15,7 mm</v>
          </cell>
          <cell r="AH601" t="str">
            <v>un</v>
          </cell>
          <cell r="AI601">
            <v>81115.777000000002</v>
          </cell>
        </row>
        <row r="602">
          <cell r="D602" t="str">
            <v>Operativa</v>
          </cell>
          <cell r="E602" t="str">
            <v>Improdutiva</v>
          </cell>
          <cell r="F602" t="str">
            <v>Produtivo</v>
          </cell>
          <cell r="G602" t="str">
            <v>Improdutivo</v>
          </cell>
          <cell r="I602" t="str">
            <v>Horário Total</v>
          </cell>
          <cell r="AF602" t="str">
            <v>M1783</v>
          </cell>
          <cell r="AG602" t="str">
            <v>Ancoragem fixa para estais TSR para 55 cordoalhas - D = 15,7 mm</v>
          </cell>
          <cell r="AH602" t="str">
            <v>un</v>
          </cell>
          <cell r="AI602">
            <v>120576.1918</v>
          </cell>
        </row>
        <row r="603">
          <cell r="G603" t="str">
            <v>Custo horário total de equipamentos</v>
          </cell>
          <cell r="AF603" t="str">
            <v>M1784</v>
          </cell>
          <cell r="AG603" t="str">
            <v>Ancoragem fixa para estais TSR para 61 cordoalhas - D = 15,7 mm</v>
          </cell>
          <cell r="AH603" t="str">
            <v>un</v>
          </cell>
          <cell r="AI603">
            <v>134995.44099999999</v>
          </cell>
        </row>
        <row r="604">
          <cell r="C604" t="str">
            <v>Quantidade</v>
          </cell>
          <cell r="D604" t="str">
            <v>Unidade</v>
          </cell>
          <cell r="E604" t="str">
            <v>Custo Horário</v>
          </cell>
          <cell r="G604" t="str">
            <v>Custo Horário Total</v>
          </cell>
          <cell r="AF604" t="str">
            <v>M1785</v>
          </cell>
          <cell r="AG604" t="str">
            <v>Ancoragem fixa para estais TSR para 73 cordoalhas - D = 15,7 mm</v>
          </cell>
          <cell r="AH604" t="str">
            <v>un</v>
          </cell>
          <cell r="AI604">
            <v>176010.79139999999</v>
          </cell>
        </row>
        <row r="605">
          <cell r="C605" t="str">
            <v>Custo horário total de mão de obra</v>
          </cell>
          <cell r="H605" t="str">
            <v>-</v>
          </cell>
          <cell r="AF605" t="str">
            <v>M1786</v>
          </cell>
          <cell r="AG605" t="str">
            <v>Ancoragem fixa para estais TSR para 91 cordoalhas - D = 15,7 mm</v>
          </cell>
          <cell r="AH605" t="str">
            <v>un</v>
          </cell>
          <cell r="AI605">
            <v>237242.41200000001</v>
          </cell>
        </row>
        <row r="606">
          <cell r="C606" t="str">
            <v>Custo horário total de execução</v>
          </cell>
          <cell r="I606" t="str">
            <v>-</v>
          </cell>
          <cell r="AF606" t="str">
            <v>M1787</v>
          </cell>
          <cell r="AG606" t="str">
            <v>Estaca de tutoramento de 5 x 2 m</v>
          </cell>
          <cell r="AH606" t="str">
            <v>un</v>
          </cell>
          <cell r="AI606">
            <v>7.8211000000000004</v>
          </cell>
        </row>
        <row r="607">
          <cell r="C607" t="str">
            <v>Custo unitário de execução</v>
          </cell>
          <cell r="I607" t="str">
            <v>-</v>
          </cell>
          <cell r="AF607" t="str">
            <v>M1789</v>
          </cell>
          <cell r="AG607" t="str">
            <v>Ancoragem ativa em ferro fundido nodular para 31 cordoalhas - D = 15,2 mm</v>
          </cell>
          <cell r="AH607" t="str">
            <v>un</v>
          </cell>
          <cell r="AI607">
            <v>8973.9909000000007</v>
          </cell>
        </row>
        <row r="608">
          <cell r="G608" t="str">
            <v>Custo do FIC</v>
          </cell>
          <cell r="I608" t="str">
            <v>-</v>
          </cell>
          <cell r="AF608" t="str">
            <v>M1790</v>
          </cell>
          <cell r="AG608" t="str">
            <v>Gás GLP</v>
          </cell>
          <cell r="AH608" t="str">
            <v>kg</v>
          </cell>
          <cell r="AI608">
            <v>5.3726000000000003</v>
          </cell>
        </row>
        <row r="609">
          <cell r="G609" t="str">
            <v>Custo do FIT</v>
          </cell>
          <cell r="I609" t="str">
            <v>-</v>
          </cell>
          <cell r="AF609" t="str">
            <v>M1794</v>
          </cell>
          <cell r="AG609" t="str">
            <v>Tela galvanizada fio 22 e malha de 25 mm</v>
          </cell>
          <cell r="AH609" t="str">
            <v>m²</v>
          </cell>
          <cell r="AI609">
            <v>3.6909999999999998</v>
          </cell>
        </row>
        <row r="610">
          <cell r="C610" t="str">
            <v>Quantidade</v>
          </cell>
          <cell r="D610" t="str">
            <v>Unidade</v>
          </cell>
          <cell r="E610" t="str">
            <v>Preço Unitário</v>
          </cell>
          <cell r="G610" t="str">
            <v>Custo Unitário</v>
          </cell>
          <cell r="AF610" t="str">
            <v>M1795</v>
          </cell>
          <cell r="AG610" t="str">
            <v>Oxigênio</v>
          </cell>
          <cell r="AH610" t="str">
            <v>m³</v>
          </cell>
          <cell r="AI610">
            <v>10</v>
          </cell>
        </row>
        <row r="611">
          <cell r="C611" t="str">
            <v>Custo unitário total de material</v>
          </cell>
          <cell r="AF611" t="str">
            <v>M1796</v>
          </cell>
          <cell r="AG611" t="str">
            <v>Acetileno</v>
          </cell>
          <cell r="AH611" t="str">
            <v>kg</v>
          </cell>
          <cell r="AI611">
            <v>35.253599999999999</v>
          </cell>
        </row>
        <row r="612">
          <cell r="C612" t="str">
            <v>Quantidade</v>
          </cell>
          <cell r="D612" t="str">
            <v>Unidade</v>
          </cell>
          <cell r="E612" t="str">
            <v>Custo Unitário</v>
          </cell>
          <cell r="G612" t="str">
            <v>Custo Unitário</v>
          </cell>
          <cell r="AF612" t="str">
            <v>M1797</v>
          </cell>
          <cell r="AG612" t="str">
            <v>Fita de espuma EPDM para vedação com adesivo uma face de 4 x 40 mm</v>
          </cell>
          <cell r="AH612" t="str">
            <v>m</v>
          </cell>
          <cell r="AI612">
            <v>2.7162999999999999</v>
          </cell>
        </row>
        <row r="613">
          <cell r="C613">
            <v>3.75</v>
          </cell>
          <cell r="D613" t="str">
            <v>kg</v>
          </cell>
          <cell r="F613">
            <v>8.1813922999999988</v>
          </cell>
          <cell r="I613">
            <v>30.680221124999996</v>
          </cell>
          <cell r="AF613" t="str">
            <v>M1798</v>
          </cell>
          <cell r="AG613" t="str">
            <v>Fibra de polipropileno - C = 12 mm e D = 18 µm</v>
          </cell>
          <cell r="AH613" t="str">
            <v>kg</v>
          </cell>
          <cell r="AI613">
            <v>16.101400000000002</v>
          </cell>
        </row>
        <row r="614">
          <cell r="C614">
            <v>7.4999999999999997E-2</v>
          </cell>
          <cell r="D614" t="str">
            <v>m³</v>
          </cell>
          <cell r="F614">
            <v>325</v>
          </cell>
          <cell r="I614">
            <v>24.375</v>
          </cell>
          <cell r="AF614" t="str">
            <v>M1799</v>
          </cell>
          <cell r="AG614" t="str">
            <v>Fibra estrutural de polipropileno corrugado - C = 50 mm e D = 100 µm</v>
          </cell>
          <cell r="AH614" t="str">
            <v>kg</v>
          </cell>
          <cell r="AI614">
            <v>15.3338</v>
          </cell>
        </row>
        <row r="615">
          <cell r="C615">
            <v>0.05</v>
          </cell>
          <cell r="D615" t="str">
            <v>m³</v>
          </cell>
          <cell r="F615">
            <v>293.02056333333331</v>
          </cell>
          <cell r="I615">
            <v>14.651028166666666</v>
          </cell>
          <cell r="AF615" t="str">
            <v>M1800</v>
          </cell>
          <cell r="AG615" t="str">
            <v>Manta asfáltica antiraiz de 3 mm</v>
          </cell>
          <cell r="AH615" t="str">
            <v>m²</v>
          </cell>
          <cell r="AI615">
            <v>30.1372</v>
          </cell>
        </row>
        <row r="616">
          <cell r="C616">
            <v>1</v>
          </cell>
          <cell r="D616" t="str">
            <v>m</v>
          </cell>
          <cell r="F616">
            <v>1224.4903827588237</v>
          </cell>
          <cell r="I616">
            <v>1224.4903827588237</v>
          </cell>
          <cell r="AF616" t="str">
            <v>M1811</v>
          </cell>
          <cell r="AG616" t="str">
            <v>Longarina de madeira de primeira de 6 x 16 cm</v>
          </cell>
          <cell r="AH616" t="str">
            <v>m</v>
          </cell>
          <cell r="AI616">
            <v>41.960500000000003</v>
          </cell>
        </row>
        <row r="617">
          <cell r="C617">
            <v>1</v>
          </cell>
          <cell r="D617" t="str">
            <v>m</v>
          </cell>
          <cell r="F617">
            <v>29.478761099200003</v>
          </cell>
          <cell r="I617">
            <v>29.478761099200003</v>
          </cell>
          <cell r="AF617" t="str">
            <v>M1812</v>
          </cell>
          <cell r="AG617" t="str">
            <v>Estronca de madeira - D = 20 cm</v>
          </cell>
          <cell r="AH617" t="str">
            <v>m</v>
          </cell>
          <cell r="AI617">
            <v>23.53</v>
          </cell>
        </row>
        <row r="618">
          <cell r="C618">
            <v>2.5000000000000001E-2</v>
          </cell>
          <cell r="D618" t="str">
            <v>m³</v>
          </cell>
          <cell r="F618">
            <v>314.84199999999998</v>
          </cell>
          <cell r="I618">
            <v>7.8710500000000003</v>
          </cell>
          <cell r="AF618" t="str">
            <v>M1815</v>
          </cell>
          <cell r="AG618" t="str">
            <v>Tela metálica de dupla torção com liga 95% ZN e 5% AL e malha de 8 x 10 cm</v>
          </cell>
          <cell r="AH618" t="str">
            <v>m²</v>
          </cell>
          <cell r="AI618">
            <v>45.886299999999999</v>
          </cell>
        </row>
        <row r="619">
          <cell r="C619" t="str">
            <v>Custo total de atividades auxiliares</v>
          </cell>
          <cell r="I619">
            <v>1331.5464431496903</v>
          </cell>
          <cell r="AF619" t="str">
            <v>M1819</v>
          </cell>
          <cell r="AG619" t="str">
            <v>Cartucho de cimento de 25 x 320 mm</v>
          </cell>
          <cell r="AH619" t="str">
            <v>un</v>
          </cell>
          <cell r="AI619">
            <v>2.4548000000000001</v>
          </cell>
        </row>
        <row r="620">
          <cell r="G620" t="str">
            <v>Subtotal</v>
          </cell>
          <cell r="AF620" t="str">
            <v>M1820</v>
          </cell>
          <cell r="AG620" t="str">
            <v>Cartucho de resina de poliéster de 25 x 500 mm</v>
          </cell>
          <cell r="AH620" t="str">
            <v>un</v>
          </cell>
          <cell r="AI620">
            <v>4.6403999999999996</v>
          </cell>
        </row>
        <row r="621">
          <cell r="C621" t="str">
            <v>Código</v>
          </cell>
          <cell r="D621" t="str">
            <v>Quantidade</v>
          </cell>
          <cell r="E621" t="str">
            <v>Unidade</v>
          </cell>
          <cell r="F621" t="str">
            <v>Custo Unitário</v>
          </cell>
          <cell r="H621" t="str">
            <v>Custo Unitário</v>
          </cell>
          <cell r="AF621" t="str">
            <v>M1844</v>
          </cell>
          <cell r="AG621" t="str">
            <v>Ancoragem ativa em ferro fundido nodular para 8 cordoalhas - D = 15,2 mm</v>
          </cell>
          <cell r="AH621" t="str">
            <v>un</v>
          </cell>
          <cell r="AI621">
            <v>1380.0433</v>
          </cell>
        </row>
        <row r="622">
          <cell r="C622">
            <v>5914655</v>
          </cell>
          <cell r="D622">
            <v>3.49E-3</v>
          </cell>
          <cell r="E622" t="str">
            <v>t</v>
          </cell>
          <cell r="G622">
            <v>22.49</v>
          </cell>
          <cell r="I622">
            <v>7.8490099999999993E-2</v>
          </cell>
          <cell r="AF622" t="str">
            <v>M1845</v>
          </cell>
          <cell r="AG622" t="str">
            <v>Ancoragem passiva aderente para 10 cordoalhas - D = 15,2 mm</v>
          </cell>
          <cell r="AH622" t="str">
            <v>un</v>
          </cell>
          <cell r="AI622">
            <v>216.3895</v>
          </cell>
        </row>
        <row r="623">
          <cell r="C623" t="str">
            <v>Custo unitário total de tempo fixo</v>
          </cell>
          <cell r="I623">
            <v>7.8490099999999993E-2</v>
          </cell>
          <cell r="AF623" t="str">
            <v>M1850</v>
          </cell>
          <cell r="AG623" t="str">
            <v>Pranchão de 7,5 x 30 cm</v>
          </cell>
          <cell r="AH623" t="str">
            <v>m</v>
          </cell>
          <cell r="AI623">
            <v>66.7</v>
          </cell>
        </row>
        <row r="624">
          <cell r="C624" t="str">
            <v>Quantidade</v>
          </cell>
          <cell r="D624" t="str">
            <v>Unidade</v>
          </cell>
          <cell r="E624" t="str">
            <v>DMT</v>
          </cell>
          <cell r="I624" t="str">
            <v>Custo Unitário</v>
          </cell>
          <cell r="AF624" t="str">
            <v>M1853</v>
          </cell>
          <cell r="AG624" t="str">
            <v>Aço para tirantes 750 MPa</v>
          </cell>
          <cell r="AH624" t="str">
            <v>kg</v>
          </cell>
          <cell r="AI624">
            <v>13.0159</v>
          </cell>
        </row>
        <row r="625">
          <cell r="E625" t="str">
            <v>LN</v>
          </cell>
          <cell r="F625" t="str">
            <v>RP</v>
          </cell>
          <cell r="G625" t="str">
            <v>P</v>
          </cell>
          <cell r="AF625" t="str">
            <v>M1868</v>
          </cell>
          <cell r="AG625" t="str">
            <v>Tinta epóxi em pó</v>
          </cell>
          <cell r="AH625" t="str">
            <v>Kg</v>
          </cell>
          <cell r="AI625">
            <v>58.537500000000001</v>
          </cell>
        </row>
        <row r="626">
          <cell r="C626">
            <v>3.49E-3</v>
          </cell>
          <cell r="D626" t="str">
            <v>tkm</v>
          </cell>
          <cell r="E626">
            <v>5914449</v>
          </cell>
          <cell r="F626">
            <v>5914464</v>
          </cell>
          <cell r="G626">
            <v>5914479</v>
          </cell>
          <cell r="AF626" t="str">
            <v>M1941</v>
          </cell>
          <cell r="AG626" t="str">
            <v>Óleo combustível 1A</v>
          </cell>
          <cell r="AH626" t="str">
            <v>l</v>
          </cell>
          <cell r="AI626">
            <v>3.1292</v>
          </cell>
        </row>
        <row r="627">
          <cell r="C627" t="str">
            <v>Custo unitário total de transporte</v>
          </cell>
          <cell r="I627" t="str">
            <v>-</v>
          </cell>
          <cell r="AF627" t="str">
            <v>M1943</v>
          </cell>
          <cell r="AG627" t="str">
            <v>Cimento asfáltico CAP 50/70</v>
          </cell>
          <cell r="AH627" t="str">
            <v>t</v>
          </cell>
          <cell r="AI627">
            <v>2810.76055</v>
          </cell>
        </row>
        <row r="628">
          <cell r="C628">
            <v>3806409</v>
          </cell>
          <cell r="D628" t="str">
            <v>m</v>
          </cell>
          <cell r="E628" t="str">
            <v>Custo unitário direto total</v>
          </cell>
          <cell r="I628">
            <v>1331.6249332496902</v>
          </cell>
          <cell r="AF628" t="str">
            <v>M1946</v>
          </cell>
          <cell r="AG628" t="str">
            <v>Emulsão asfáltica RR-1C</v>
          </cell>
          <cell r="AH628" t="str">
            <v>t</v>
          </cell>
          <cell r="AI628">
            <v>2009.19667</v>
          </cell>
        </row>
        <row r="629">
          <cell r="AF629" t="str">
            <v>M1968</v>
          </cell>
          <cell r="AG629" t="str">
            <v>Defensa metálica semimaleável simples</v>
          </cell>
          <cell r="AH629" t="str">
            <v>un</v>
          </cell>
          <cell r="AI629">
            <v>866.94399999999996</v>
          </cell>
        </row>
        <row r="630">
          <cell r="AF630" t="str">
            <v>M1974</v>
          </cell>
          <cell r="AG630" t="str">
            <v>Bit para fresadora de 410 kW</v>
          </cell>
          <cell r="AH630" t="str">
            <v>un</v>
          </cell>
          <cell r="AI630">
            <v>29.693100000000001</v>
          </cell>
        </row>
        <row r="631">
          <cell r="I631" t="str">
            <v>DNIT</v>
          </cell>
          <cell r="AF631" t="str">
            <v>M1975</v>
          </cell>
          <cell r="AG631" t="str">
            <v>Porta bits para fresadora de 410 kW</v>
          </cell>
          <cell r="AH631" t="str">
            <v>un</v>
          </cell>
          <cell r="AI631">
            <v>353.13350000000003</v>
          </cell>
        </row>
        <row r="632">
          <cell r="AF632" t="str">
            <v>M1976</v>
          </cell>
          <cell r="AG632" t="str">
            <v>Terminal aéreo de defensa metálica (tipo A - NBR 6.971)</v>
          </cell>
          <cell r="AH632" t="str">
            <v>un</v>
          </cell>
          <cell r="AI632">
            <v>228.36490000000001</v>
          </cell>
        </row>
        <row r="633">
          <cell r="D633" t="str">
            <v>Outubro/2019</v>
          </cell>
          <cell r="G633" t="str">
            <v>Produção da equipe</v>
          </cell>
          <cell r="H633">
            <v>100</v>
          </cell>
          <cell r="I633" t="str">
            <v>m²</v>
          </cell>
          <cell r="AF633" t="str">
            <v>M1995</v>
          </cell>
          <cell r="AG633" t="str">
            <v>Apoio do porta bit para fresadora de 410 kW</v>
          </cell>
          <cell r="AH633" t="str">
            <v>un</v>
          </cell>
          <cell r="AI633">
            <v>2421.0482000000002</v>
          </cell>
        </row>
        <row r="634">
          <cell r="H634" t="str">
            <v>Valores em reais (R$)</v>
          </cell>
          <cell r="AF634" t="str">
            <v>M2036</v>
          </cell>
          <cell r="AG634" t="str">
            <v>Tinta à base de resina acrílica emulsão em água</v>
          </cell>
          <cell r="AH634" t="str">
            <v>l</v>
          </cell>
          <cell r="AI634">
            <v>17.996500000000001</v>
          </cell>
        </row>
        <row r="635">
          <cell r="C635" t="str">
            <v>Quantidade</v>
          </cell>
          <cell r="D635" t="str">
            <v>Utilização</v>
          </cell>
          <cell r="F635" t="str">
            <v>Custo Horário</v>
          </cell>
          <cell r="I635" t="str">
            <v>Custo</v>
          </cell>
          <cell r="AF635" t="str">
            <v>M2037</v>
          </cell>
          <cell r="AG635" t="str">
            <v>Microesferas de vidro refletiva tipo I-B</v>
          </cell>
          <cell r="AH635" t="str">
            <v>kg</v>
          </cell>
          <cell r="AI635">
            <v>5.8438999999999997</v>
          </cell>
        </row>
        <row r="636">
          <cell r="D636" t="str">
            <v>Operativa</v>
          </cell>
          <cell r="E636" t="str">
            <v>Improdutiva</v>
          </cell>
          <cell r="F636" t="str">
            <v>Produtivo</v>
          </cell>
          <cell r="G636" t="str">
            <v>Improdutivo</v>
          </cell>
          <cell r="I636" t="str">
            <v>Horário Total</v>
          </cell>
          <cell r="AF636" t="str">
            <v>M2038</v>
          </cell>
          <cell r="AG636" t="str">
            <v>Microesferas de vidro refletiva tipo II-A</v>
          </cell>
          <cell r="AH636" t="str">
            <v>kg</v>
          </cell>
          <cell r="AI636">
            <v>5.7857000000000003</v>
          </cell>
        </row>
        <row r="637">
          <cell r="C637">
            <v>1</v>
          </cell>
          <cell r="D637">
            <v>0.3</v>
          </cell>
          <cell r="E637">
            <v>0.7</v>
          </cell>
          <cell r="F637">
            <v>87.298900000000003</v>
          </cell>
          <cell r="G637">
            <v>37.209699999999998</v>
          </cell>
          <cell r="I637">
            <v>52.236459999999994</v>
          </cell>
          <cell r="AF637" t="str">
            <v>M2041</v>
          </cell>
          <cell r="AG637" t="str">
            <v>Cola poliéster</v>
          </cell>
          <cell r="AH637" t="str">
            <v>kg</v>
          </cell>
          <cell r="AI637">
            <v>18.323</v>
          </cell>
        </row>
        <row r="638">
          <cell r="G638" t="str">
            <v>Custo horário total de equipamentos</v>
          </cell>
          <cell r="AF638" t="str">
            <v>PAG11</v>
          </cell>
          <cell r="AI638">
            <v>0</v>
          </cell>
        </row>
        <row r="639">
          <cell r="C639" t="str">
            <v>Quantidade</v>
          </cell>
          <cell r="D639" t="str">
            <v>Unidade</v>
          </cell>
          <cell r="E639" t="str">
            <v>Custo Horário</v>
          </cell>
          <cell r="G639" t="str">
            <v>Custo Horário Total</v>
          </cell>
          <cell r="AF639" t="str">
            <v>PAG12</v>
          </cell>
          <cell r="AI639">
            <v>0</v>
          </cell>
        </row>
        <row r="640">
          <cell r="C640">
            <v>10</v>
          </cell>
          <cell r="D640" t="str">
            <v>h</v>
          </cell>
          <cell r="F640">
            <v>19.378599999999999</v>
          </cell>
          <cell r="I640">
            <v>193.786</v>
          </cell>
          <cell r="AF640" t="str">
            <v>M2047</v>
          </cell>
          <cell r="AG640" t="str">
            <v>Tirante autoinjetável de aço - D = 40 mm e seção 684 mm²</v>
          </cell>
          <cell r="AH640" t="str">
            <v>m</v>
          </cell>
          <cell r="AI640">
            <v>72.705299999999994</v>
          </cell>
        </row>
        <row r="641">
          <cell r="C641" t="str">
            <v>Custo horário total de mão de obra</v>
          </cell>
          <cell r="H641">
            <v>193.786</v>
          </cell>
          <cell r="AF641" t="str">
            <v>M2048</v>
          </cell>
          <cell r="AG641" t="str">
            <v>Tirante autoinjetável de aço - D = 40 mm e seção 822 mm²</v>
          </cell>
          <cell r="AH641" t="str">
            <v>m</v>
          </cell>
          <cell r="AI641">
            <v>89.785899999999998</v>
          </cell>
        </row>
        <row r="642">
          <cell r="C642" t="str">
            <v>Custo horário total de execução</v>
          </cell>
          <cell r="I642">
            <v>246.02246</v>
          </cell>
          <cell r="AF642" t="str">
            <v>M2049</v>
          </cell>
          <cell r="AG642" t="str">
            <v>Tirante autoinjetável de aço - D = 40 mm e seção 936 mm²</v>
          </cell>
          <cell r="AH642" t="str">
            <v>m</v>
          </cell>
          <cell r="AI642">
            <v>107.4474</v>
          </cell>
        </row>
        <row r="643">
          <cell r="C643" t="str">
            <v>Custo unitário de execução</v>
          </cell>
          <cell r="I643">
            <v>2.4602246000000001</v>
          </cell>
          <cell r="AF643" t="str">
            <v>M2050</v>
          </cell>
          <cell r="AG643" t="str">
            <v>Geotêxtil não-tecido agulhado RT 09</v>
          </cell>
          <cell r="AH643" t="str">
            <v>m²</v>
          </cell>
          <cell r="AI643">
            <v>3.1816</v>
          </cell>
        </row>
        <row r="644">
          <cell r="G644" t="str">
            <v>Custo do FIC</v>
          </cell>
          <cell r="I644" t="str">
            <v>-</v>
          </cell>
          <cell r="AF644" t="str">
            <v>M2051</v>
          </cell>
          <cell r="AG644" t="str">
            <v>Geotêxtil não-tecido agulhado RT 14</v>
          </cell>
          <cell r="AH644" t="str">
            <v>m²</v>
          </cell>
          <cell r="AI644">
            <v>5.3330000000000002</v>
          </cell>
        </row>
        <row r="645">
          <cell r="G645" t="str">
            <v>Custo do FIT</v>
          </cell>
          <cell r="I645" t="str">
            <v>-</v>
          </cell>
          <cell r="AF645" t="str">
            <v>M2052</v>
          </cell>
          <cell r="AG645" t="str">
            <v>Tirante autoinjetável de aço - D = 50 mm e seção 1.330 mm²</v>
          </cell>
          <cell r="AH645" t="str">
            <v>m</v>
          </cell>
          <cell r="AI645">
            <v>154.21</v>
          </cell>
        </row>
        <row r="646">
          <cell r="C646" t="str">
            <v>Quantidade</v>
          </cell>
          <cell r="D646" t="str">
            <v>Unidade</v>
          </cell>
          <cell r="E646" t="str">
            <v>Preço Unitário</v>
          </cell>
          <cell r="G646" t="str">
            <v>Custo Unitário</v>
          </cell>
          <cell r="AF646" t="str">
            <v>M2053</v>
          </cell>
          <cell r="AG646" t="str">
            <v>Tirante autoinjetável de aço - D = 50 mm e seção 1.569 mm²</v>
          </cell>
          <cell r="AH646" t="str">
            <v>m</v>
          </cell>
          <cell r="AI646">
            <v>181.86410000000001</v>
          </cell>
        </row>
        <row r="647">
          <cell r="C647">
            <v>0.2</v>
          </cell>
          <cell r="D647" t="str">
            <v>kg</v>
          </cell>
          <cell r="F647">
            <v>0.42870000000000003</v>
          </cell>
          <cell r="I647">
            <v>8.5740000000000011E-2</v>
          </cell>
          <cell r="AF647" t="str">
            <v>M2054</v>
          </cell>
          <cell r="AG647" t="str">
            <v>Tirante monobarra de aço - D = 30 mm INCO 22D</v>
          </cell>
          <cell r="AH647" t="str">
            <v>m</v>
          </cell>
          <cell r="AI647">
            <v>62.488</v>
          </cell>
        </row>
        <row r="648">
          <cell r="C648">
            <v>3.7499999999999999E-3</v>
          </cell>
          <cell r="D648" t="str">
            <v>l</v>
          </cell>
          <cell r="F648">
            <v>7.6486000000000001</v>
          </cell>
          <cell r="I648">
            <v>2.8682249999999999E-2</v>
          </cell>
          <cell r="AF648" t="str">
            <v>M2055</v>
          </cell>
          <cell r="AG648" t="str">
            <v>Tirante monobarra de aço - D = 40 mm INCO 35D</v>
          </cell>
          <cell r="AH648" t="str">
            <v>m</v>
          </cell>
          <cell r="AI648">
            <v>69.566999999999993</v>
          </cell>
        </row>
        <row r="649">
          <cell r="C649" t="str">
            <v>Custo unitário total de material</v>
          </cell>
          <cell r="I649">
            <v>0.11442225</v>
          </cell>
          <cell r="AF649" t="str">
            <v>M2056</v>
          </cell>
          <cell r="AG649" t="str">
            <v>Tirante monobarra de aço - D = 44 mm INCO 45D</v>
          </cell>
          <cell r="AH649" t="str">
            <v>m</v>
          </cell>
          <cell r="AI649">
            <v>121.59050000000001</v>
          </cell>
        </row>
        <row r="650">
          <cell r="C650" t="str">
            <v>Quantidade</v>
          </cell>
          <cell r="D650" t="str">
            <v>Unidade</v>
          </cell>
          <cell r="E650" t="str">
            <v>Custo Unitário</v>
          </cell>
          <cell r="G650" t="str">
            <v>Custo Unitário</v>
          </cell>
          <cell r="AF650" t="str">
            <v>M2057</v>
          </cell>
          <cell r="AG650" t="str">
            <v>Tirante monobarra de aço - D = 50 mm INCO 50D</v>
          </cell>
          <cell r="AH650" t="str">
            <v>m</v>
          </cell>
          <cell r="AI650">
            <v>139.1292</v>
          </cell>
        </row>
        <row r="651">
          <cell r="C651" t="str">
            <v>Custo total de atividades auxiliares</v>
          </cell>
          <cell r="AF651" t="str">
            <v>M2058</v>
          </cell>
          <cell r="AG651" t="str">
            <v>Tirante monobarra de aço - D = 53 mm INCO 60D</v>
          </cell>
          <cell r="AH651" t="str">
            <v>m</v>
          </cell>
          <cell r="AI651">
            <v>160.15979999999999</v>
          </cell>
        </row>
        <row r="652">
          <cell r="G652" t="str">
            <v>Subtotal</v>
          </cell>
          <cell r="AF652" t="str">
            <v>M2059</v>
          </cell>
          <cell r="AG652" t="str">
            <v>Tirante monobarra de aço - D = 57 mm INCO 70D</v>
          </cell>
          <cell r="AH652" t="str">
            <v>m</v>
          </cell>
          <cell r="AI652">
            <v>178.87860000000001</v>
          </cell>
        </row>
        <row r="653">
          <cell r="C653" t="str">
            <v>Código</v>
          </cell>
          <cell r="D653" t="str">
            <v>Quantidade</v>
          </cell>
          <cell r="E653" t="str">
            <v>Unidade</v>
          </cell>
          <cell r="F653" t="str">
            <v>Custo Unitário</v>
          </cell>
          <cell r="H653" t="str">
            <v>Custo Unitário</v>
          </cell>
          <cell r="AF653" t="str">
            <v>M2060</v>
          </cell>
          <cell r="AG653" t="str">
            <v>Amortecedor retrátil tipo TAU II afunilado PCB com velocidade de 100 km/h e âncora traseira de 2.290 mm</v>
          </cell>
          <cell r="AH653" t="str">
            <v>un</v>
          </cell>
          <cell r="AI653">
            <v>166972.5846</v>
          </cell>
        </row>
        <row r="654">
          <cell r="C654">
            <v>5915474</v>
          </cell>
          <cell r="D654">
            <v>2.0000000000000001E-4</v>
          </cell>
          <cell r="E654" t="str">
            <v>t</v>
          </cell>
          <cell r="G654">
            <v>17.66</v>
          </cell>
          <cell r="I654">
            <v>3.532E-3</v>
          </cell>
          <cell r="AF654" t="str">
            <v>M2061</v>
          </cell>
          <cell r="AG654" t="str">
            <v>Amortecedor retrátil tipo TAU II afunilado PCB com velocidade de 100 km/h e âncora traseira de 2.440 mm</v>
          </cell>
          <cell r="AH654" t="str">
            <v>un</v>
          </cell>
          <cell r="AI654">
            <v>176066.90590000001</v>
          </cell>
        </row>
        <row r="655">
          <cell r="C655" t="str">
            <v>Custo unitário total de tempo fixo</v>
          </cell>
          <cell r="I655">
            <v>3.532E-3</v>
          </cell>
          <cell r="AF655" t="str">
            <v>M2062</v>
          </cell>
          <cell r="AG655" t="str">
            <v>Coroa para perfuratriz T38 - D = 2 1/2"</v>
          </cell>
          <cell r="AH655" t="str">
            <v>un</v>
          </cell>
          <cell r="AI655">
            <v>529.84720000000004</v>
          </cell>
        </row>
        <row r="656">
          <cell r="C656" t="str">
            <v>Quantidade</v>
          </cell>
          <cell r="D656" t="str">
            <v>Unidade</v>
          </cell>
          <cell r="E656" t="str">
            <v>DMT</v>
          </cell>
          <cell r="I656" t="str">
            <v>Custo Unitário</v>
          </cell>
          <cell r="AF656" t="str">
            <v>M2063</v>
          </cell>
          <cell r="AG656" t="str">
            <v>Tirante monobarra de aço - D = 63 mm INCO 90D</v>
          </cell>
          <cell r="AH656" t="str">
            <v>m</v>
          </cell>
          <cell r="AI656">
            <v>224.95410000000001</v>
          </cell>
        </row>
        <row r="657">
          <cell r="E657" t="str">
            <v>LN</v>
          </cell>
          <cell r="F657" t="str">
            <v>RP</v>
          </cell>
          <cell r="G657" t="str">
            <v>P</v>
          </cell>
          <cell r="AF657" t="str">
            <v>M2064</v>
          </cell>
          <cell r="AG657" t="str">
            <v>Termoplástico pré-formado</v>
          </cell>
          <cell r="AH657" t="str">
            <v>m²</v>
          </cell>
          <cell r="AI657">
            <v>95.2166</v>
          </cell>
        </row>
        <row r="658">
          <cell r="C658">
            <v>2.0000000000000001E-4</v>
          </cell>
          <cell r="D658" t="str">
            <v>tkm</v>
          </cell>
          <cell r="E658">
            <v>5915322</v>
          </cell>
          <cell r="F658">
            <v>5915323</v>
          </cell>
          <cell r="G658">
            <v>5915324</v>
          </cell>
          <cell r="AF658" t="str">
            <v>M2065</v>
          </cell>
          <cell r="AG658" t="str">
            <v>Haste para perfuratriz de esteira T38 de 1 1/2" x 3 m</v>
          </cell>
          <cell r="AH658" t="str">
            <v>un</v>
          </cell>
          <cell r="AI658">
            <v>1225.9955</v>
          </cell>
        </row>
        <row r="659">
          <cell r="C659" t="str">
            <v>Custo unitário total de transporte</v>
          </cell>
          <cell r="I659" t="str">
            <v>-</v>
          </cell>
          <cell r="AF659" t="str">
            <v>M2066</v>
          </cell>
          <cell r="AG659" t="str">
            <v>Luva para perfuratriz de esteira T38 - D = 1 1/2"</v>
          </cell>
          <cell r="AH659" t="str">
            <v>un</v>
          </cell>
          <cell r="AI659">
            <v>220.67910000000001</v>
          </cell>
        </row>
        <row r="660">
          <cell r="C660">
            <v>4915723</v>
          </cell>
          <cell r="D660" t="str">
            <v>m²</v>
          </cell>
          <cell r="E660" t="str">
            <v>Custo unitário direto total</v>
          </cell>
          <cell r="I660">
            <v>2.57817885</v>
          </cell>
          <cell r="AF660" t="str">
            <v>M2067</v>
          </cell>
          <cell r="AG660" t="str">
            <v>Punho para perfuratriz de esteira T38 - D = 1 1/2"</v>
          </cell>
          <cell r="AH660" t="str">
            <v>un</v>
          </cell>
          <cell r="AI660">
            <v>1000.3984</v>
          </cell>
        </row>
        <row r="661">
          <cell r="AF661" t="str">
            <v>M2069</v>
          </cell>
          <cell r="AG661" t="str">
            <v>Tirante monobarra de aço - D = 69 mm INCO 100D</v>
          </cell>
          <cell r="AH661" t="str">
            <v>m</v>
          </cell>
          <cell r="AI661">
            <v>273.56209999999999</v>
          </cell>
        </row>
        <row r="662">
          <cell r="AF662" t="str">
            <v>M2070</v>
          </cell>
          <cell r="AG662" t="str">
            <v>Haste para jumbo hidráulico T38 de 1 1/2" x 4,60 m</v>
          </cell>
          <cell r="AH662" t="str">
            <v>un</v>
          </cell>
          <cell r="AI662">
            <v>1634.7430999999999</v>
          </cell>
        </row>
        <row r="663">
          <cell r="I663" t="str">
            <v>DNIT</v>
          </cell>
          <cell r="AF663" t="str">
            <v>M2071</v>
          </cell>
          <cell r="AG663" t="str">
            <v>Coroa para jumbo hidráulico T38 - D = 2"</v>
          </cell>
          <cell r="AH663" t="str">
            <v>un</v>
          </cell>
          <cell r="AI663">
            <v>450.625</v>
          </cell>
        </row>
        <row r="664">
          <cell r="AF664" t="str">
            <v>M2072</v>
          </cell>
          <cell r="AG664" t="str">
            <v>Luva de acoplamento para jumbo T38 - D = 1 1/2"</v>
          </cell>
          <cell r="AH664" t="str">
            <v>un</v>
          </cell>
          <cell r="AI664">
            <v>217.876</v>
          </cell>
        </row>
        <row r="665">
          <cell r="D665" t="str">
            <v>Outubro/2019</v>
          </cell>
          <cell r="G665" t="str">
            <v>Produção da equipe</v>
          </cell>
          <cell r="H665">
            <v>20</v>
          </cell>
          <cell r="I665" t="str">
            <v>m</v>
          </cell>
          <cell r="AF665" t="str">
            <v>M2073</v>
          </cell>
          <cell r="AG665" t="str">
            <v>Punho para jumbo hidráulico T38 - D = 1 1/2"</v>
          </cell>
          <cell r="AH665" t="str">
            <v>un</v>
          </cell>
          <cell r="AI665">
            <v>1162.1134</v>
          </cell>
        </row>
        <row r="666">
          <cell r="H666" t="str">
            <v>Valores em reais (R$)</v>
          </cell>
          <cell r="AF666" t="str">
            <v>M2074</v>
          </cell>
          <cell r="AG666" t="str">
            <v>Cartuchos de absorção para amortecedor retrátil de energia tipo A</v>
          </cell>
          <cell r="AH666" t="str">
            <v>un</v>
          </cell>
          <cell r="AI666">
            <v>2304.1651000000002</v>
          </cell>
        </row>
        <row r="667">
          <cell r="C667" t="str">
            <v>Quantidade</v>
          </cell>
          <cell r="D667" t="str">
            <v>Utilização</v>
          </cell>
          <cell r="F667" t="str">
            <v>Custo Horário</v>
          </cell>
          <cell r="I667" t="str">
            <v>Custo</v>
          </cell>
          <cell r="AF667" t="str">
            <v>M2075</v>
          </cell>
          <cell r="AG667" t="str">
            <v>Cartuchos de absorção para amortecedor retrátil de energia tipo B</v>
          </cell>
          <cell r="AH667" t="str">
            <v>un</v>
          </cell>
          <cell r="AI667">
            <v>2188.4740000000002</v>
          </cell>
        </row>
        <row r="668">
          <cell r="D668" t="str">
            <v>Operativa</v>
          </cell>
          <cell r="E668" t="str">
            <v>Improdutiva</v>
          </cell>
          <cell r="F668" t="str">
            <v>Produtivo</v>
          </cell>
          <cell r="G668" t="str">
            <v>Improdutivo</v>
          </cell>
          <cell r="I668" t="str">
            <v>Horário Total</v>
          </cell>
          <cell r="AF668" t="str">
            <v>M2079</v>
          </cell>
          <cell r="AG668" t="str">
            <v>Fio de nylon Nº 040</v>
          </cell>
          <cell r="AH668" t="str">
            <v>m</v>
          </cell>
          <cell r="AI668">
            <v>7.3200000000000001E-2</v>
          </cell>
        </row>
        <row r="669">
          <cell r="G669" t="str">
            <v>Custo horário total de equipamentos</v>
          </cell>
          <cell r="AF669" t="str">
            <v>M2083</v>
          </cell>
          <cell r="AG669" t="str">
            <v>Tacha refletiva monodirecional</v>
          </cell>
          <cell r="AH669" t="str">
            <v>un</v>
          </cell>
          <cell r="AI669">
            <v>11.051500000000001</v>
          </cell>
        </row>
        <row r="670">
          <cell r="C670" t="str">
            <v>Quantidade</v>
          </cell>
          <cell r="D670" t="str">
            <v>Unidade</v>
          </cell>
          <cell r="E670" t="str">
            <v>Custo Horário</v>
          </cell>
          <cell r="G670" t="str">
            <v>Custo Horário Total</v>
          </cell>
          <cell r="AF670" t="str">
            <v>M2084</v>
          </cell>
          <cell r="AG670" t="str">
            <v>Tacha refletiva bidirecional</v>
          </cell>
          <cell r="AH670" t="str">
            <v>un</v>
          </cell>
          <cell r="AI670">
            <v>12.900600000000001</v>
          </cell>
        </row>
        <row r="671">
          <cell r="C671">
            <v>4</v>
          </cell>
          <cell r="D671" t="str">
            <v>h</v>
          </cell>
          <cell r="F671">
            <v>19.378599999999999</v>
          </cell>
          <cell r="I671">
            <v>77.514399999999995</v>
          </cell>
          <cell r="AF671" t="str">
            <v>M2085</v>
          </cell>
          <cell r="AG671" t="str">
            <v>Tachão refletivo monodirecional</v>
          </cell>
          <cell r="AH671" t="str">
            <v>un</v>
          </cell>
          <cell r="AI671">
            <v>27.5105</v>
          </cell>
        </row>
        <row r="672">
          <cell r="C672" t="str">
            <v>Custo horário total de mão de obra</v>
          </cell>
          <cell r="H672">
            <v>77.514399999999995</v>
          </cell>
          <cell r="AF672" t="str">
            <v>M2086</v>
          </cell>
          <cell r="AG672" t="str">
            <v>Tachão refletivo bidirecional</v>
          </cell>
          <cell r="AH672" t="str">
            <v>un</v>
          </cell>
          <cell r="AI672">
            <v>28.432600000000001</v>
          </cell>
        </row>
        <row r="673">
          <cell r="C673" t="str">
            <v>Custo horário total de execução</v>
          </cell>
          <cell r="I673">
            <v>77.514399999999995</v>
          </cell>
          <cell r="AF673" t="str">
            <v>M2092</v>
          </cell>
          <cell r="AG673" t="str">
            <v>Emulsão asfáltica para imprimação</v>
          </cell>
          <cell r="AH673" t="str">
            <v>t</v>
          </cell>
          <cell r="AI673">
            <v>0</v>
          </cell>
        </row>
        <row r="674">
          <cell r="C674" t="str">
            <v>Custo unitário de execução</v>
          </cell>
          <cell r="I674">
            <v>3.8757199999999998</v>
          </cell>
          <cell r="AF674" t="str">
            <v>M2093</v>
          </cell>
          <cell r="AG674" t="str">
            <v>Material fresado</v>
          </cell>
          <cell r="AH674" t="str">
            <v>m³</v>
          </cell>
          <cell r="AI674">
            <v>0</v>
          </cell>
        </row>
        <row r="675">
          <cell r="G675" t="str">
            <v>Custo do FIC</v>
          </cell>
          <cell r="I675" t="str">
            <v>-</v>
          </cell>
          <cell r="AF675" t="str">
            <v>M2097</v>
          </cell>
          <cell r="AG675" t="str">
            <v>Emulsão asfáltica RR-2C</v>
          </cell>
          <cell r="AH675" t="str">
            <v>t</v>
          </cell>
          <cell r="AI675">
            <v>0</v>
          </cell>
        </row>
        <row r="676">
          <cell r="G676" t="str">
            <v>Custo do FIT</v>
          </cell>
          <cell r="I676" t="str">
            <v>-</v>
          </cell>
          <cell r="AF676" t="str">
            <v>M2102</v>
          </cell>
          <cell r="AG676" t="str">
            <v>Adesivo PVA</v>
          </cell>
          <cell r="AH676" t="str">
            <v>kg</v>
          </cell>
          <cell r="AI676">
            <v>11.041</v>
          </cell>
        </row>
        <row r="677">
          <cell r="C677" t="str">
            <v>Quantidade</v>
          </cell>
          <cell r="D677" t="str">
            <v>Unidade</v>
          </cell>
          <cell r="E677" t="str">
            <v>Preço Unitário</v>
          </cell>
          <cell r="G677" t="str">
            <v>Custo Unitário</v>
          </cell>
          <cell r="AF677" t="str">
            <v>M2110</v>
          </cell>
          <cell r="AG677" t="str">
            <v>Mandíbula móvel C96 Std</v>
          </cell>
          <cell r="AH677" t="str">
            <v>un</v>
          </cell>
          <cell r="AI677">
            <v>12623.359</v>
          </cell>
        </row>
        <row r="678">
          <cell r="C678" t="str">
            <v>Custo unitário total de material</v>
          </cell>
          <cell r="AF678" t="str">
            <v>M2111</v>
          </cell>
          <cell r="AG678" t="str">
            <v>Mandíbula fixa C96 Std</v>
          </cell>
          <cell r="AH678" t="str">
            <v>un</v>
          </cell>
          <cell r="AI678">
            <v>14968.099099999999</v>
          </cell>
        </row>
        <row r="679">
          <cell r="C679" t="str">
            <v>Quantidade</v>
          </cell>
          <cell r="D679" t="str">
            <v>Unidade</v>
          </cell>
          <cell r="E679" t="str">
            <v>Custo Unitário</v>
          </cell>
          <cell r="G679" t="str">
            <v>Custo Unitário</v>
          </cell>
          <cell r="AF679" t="str">
            <v>M2112</v>
          </cell>
          <cell r="AG679" t="str">
            <v>Manta HP200</v>
          </cell>
          <cell r="AH679" t="str">
            <v>un</v>
          </cell>
          <cell r="AI679">
            <v>12151.855299999999</v>
          </cell>
        </row>
        <row r="680">
          <cell r="C680" t="str">
            <v>Custo total de atividades auxiliares</v>
          </cell>
          <cell r="AF680" t="str">
            <v>M2113</v>
          </cell>
          <cell r="AG680" t="str">
            <v>Revestimento bojo Std HP200</v>
          </cell>
          <cell r="AH680" t="str">
            <v>un</v>
          </cell>
          <cell r="AI680">
            <v>12737.793100000001</v>
          </cell>
        </row>
        <row r="681">
          <cell r="G681" t="str">
            <v>Subtotal</v>
          </cell>
          <cell r="AF681" t="str">
            <v>M2114</v>
          </cell>
          <cell r="AG681" t="str">
            <v>Cunha lateral superior C96</v>
          </cell>
          <cell r="AH681" t="str">
            <v>un</v>
          </cell>
          <cell r="AI681">
            <v>3280.4146000000001</v>
          </cell>
        </row>
        <row r="682">
          <cell r="C682" t="str">
            <v>Código</v>
          </cell>
          <cell r="D682" t="str">
            <v>Quantidade</v>
          </cell>
          <cell r="E682" t="str">
            <v>Unidade</v>
          </cell>
          <cell r="F682" t="str">
            <v>Custo Unitário</v>
          </cell>
          <cell r="H682" t="str">
            <v>Custo Unitário</v>
          </cell>
          <cell r="AF682" t="str">
            <v>M2115</v>
          </cell>
          <cell r="AG682" t="str">
            <v>Cunha lateral inferior C96</v>
          </cell>
          <cell r="AH682" t="str">
            <v>un</v>
          </cell>
          <cell r="AI682">
            <v>2321.3283999999999</v>
          </cell>
        </row>
        <row r="683">
          <cell r="C683" t="str">
            <v>Custo unitário total de tempo fixo</v>
          </cell>
          <cell r="AF683" t="str">
            <v>M2117</v>
          </cell>
          <cell r="AG683" t="str">
            <v>Meio tubo de concreto - D = 40 cm</v>
          </cell>
          <cell r="AH683" t="str">
            <v>m</v>
          </cell>
          <cell r="AI683">
            <v>29.2867</v>
          </cell>
        </row>
        <row r="684">
          <cell r="C684" t="str">
            <v>Quantidade</v>
          </cell>
          <cell r="D684" t="str">
            <v>Unidade</v>
          </cell>
          <cell r="E684" t="str">
            <v>DMT</v>
          </cell>
          <cell r="I684" t="str">
            <v>Custo Unitário</v>
          </cell>
          <cell r="AF684" t="str">
            <v>M2118</v>
          </cell>
          <cell r="AG684" t="str">
            <v>Calha metálica semicircular corrugada galvanizada e com fixações - D = 40 cm</v>
          </cell>
          <cell r="AH684" t="str">
            <v>m</v>
          </cell>
          <cell r="AI684">
            <v>226.78</v>
          </cell>
        </row>
        <row r="685">
          <cell r="E685" t="str">
            <v>LN</v>
          </cell>
          <cell r="F685" t="str">
            <v>RP</v>
          </cell>
          <cell r="G685" t="str">
            <v>P</v>
          </cell>
          <cell r="AF685" t="str">
            <v>M2119</v>
          </cell>
          <cell r="AG685" t="str">
            <v>Mourão de madeira - H = 2,80 m e D = 15 cm</v>
          </cell>
          <cell r="AH685" t="str">
            <v>un</v>
          </cell>
          <cell r="AI685">
            <v>39.479999999999997</v>
          </cell>
        </row>
        <row r="686">
          <cell r="C686" t="str">
            <v>Custo unitário total de transporte</v>
          </cell>
          <cell r="I686" t="str">
            <v>-</v>
          </cell>
          <cell r="AF686" t="str">
            <v>M2128</v>
          </cell>
          <cell r="AG686" t="str">
            <v>Tinta esmalte sintético</v>
          </cell>
          <cell r="AH686" t="str">
            <v>l</v>
          </cell>
          <cell r="AI686">
            <v>24.566600000000001</v>
          </cell>
        </row>
        <row r="687">
          <cell r="C687">
            <v>4915672</v>
          </cell>
          <cell r="D687" t="str">
            <v>m</v>
          </cell>
          <cell r="E687" t="str">
            <v>Custo unitário direto total</v>
          </cell>
          <cell r="I687">
            <v>3.8757199999999998</v>
          </cell>
          <cell r="AF687" t="str">
            <v>M2130</v>
          </cell>
          <cell r="AG687" t="str">
            <v>Eletrodo E70 xx</v>
          </cell>
          <cell r="AH687" t="str">
            <v>kg</v>
          </cell>
          <cell r="AI687">
            <v>18.244</v>
          </cell>
        </row>
        <row r="688">
          <cell r="AF688" t="str">
            <v>M2135</v>
          </cell>
          <cell r="AG688" t="str">
            <v>Nonel de coluna (túnel)</v>
          </cell>
          <cell r="AH688" t="str">
            <v>un</v>
          </cell>
          <cell r="AI688">
            <v>15.529199999999999</v>
          </cell>
        </row>
        <row r="689">
          <cell r="AF689" t="str">
            <v>M2137</v>
          </cell>
          <cell r="AG689" t="str">
            <v>Tubo de PVC rígido - D = 50 mm</v>
          </cell>
          <cell r="AH689" t="str">
            <v>m</v>
          </cell>
          <cell r="AI689">
            <v>9.3755000000000006</v>
          </cell>
        </row>
        <row r="690">
          <cell r="I690" t="str">
            <v>DNIT</v>
          </cell>
          <cell r="AF690" t="str">
            <v>M2138</v>
          </cell>
          <cell r="AG690" t="str">
            <v>Nonel de coluna com 12 m</v>
          </cell>
          <cell r="AH690" t="str">
            <v>un</v>
          </cell>
          <cell r="AI690">
            <v>13.9946</v>
          </cell>
        </row>
        <row r="691">
          <cell r="AF691" t="str">
            <v>M2139</v>
          </cell>
          <cell r="AG691" t="str">
            <v>Broca integral série S11 - L = 1,6 m</v>
          </cell>
          <cell r="AH691" t="str">
            <v>un</v>
          </cell>
          <cell r="AI691">
            <v>329.38529999999997</v>
          </cell>
        </row>
        <row r="692">
          <cell r="D692" t="str">
            <v>Outubro/2019</v>
          </cell>
          <cell r="G692" t="str">
            <v>Produção da equipe</v>
          </cell>
          <cell r="H692">
            <v>300</v>
          </cell>
          <cell r="I692" t="str">
            <v>m</v>
          </cell>
          <cell r="AF692" t="str">
            <v>M2140</v>
          </cell>
          <cell r="AG692" t="str">
            <v>Coroa de diamante linha AWG</v>
          </cell>
          <cell r="AH692" t="str">
            <v>un</v>
          </cell>
          <cell r="AI692">
            <v>609.76639999999998</v>
          </cell>
        </row>
        <row r="693">
          <cell r="H693" t="str">
            <v>Valores em reais (R$)</v>
          </cell>
          <cell r="AF693" t="str">
            <v>M2141</v>
          </cell>
          <cell r="AG693" t="str">
            <v>Nonel de iniciação para fogacho com 6 m</v>
          </cell>
          <cell r="AH693" t="str">
            <v>un</v>
          </cell>
          <cell r="AI693">
            <v>9.1069999999999993</v>
          </cell>
        </row>
        <row r="694">
          <cell r="C694" t="str">
            <v>Quantidade</v>
          </cell>
          <cell r="D694" t="str">
            <v>Utilização</v>
          </cell>
          <cell r="F694" t="str">
            <v>Custo Horário</v>
          </cell>
          <cell r="I694" t="str">
            <v>Custo</v>
          </cell>
          <cell r="AF694" t="str">
            <v>M2142</v>
          </cell>
          <cell r="AG694" t="str">
            <v>Nonel de coluna com 4,8 m</v>
          </cell>
          <cell r="AH694" t="str">
            <v>un</v>
          </cell>
          <cell r="AI694">
            <v>13.1891</v>
          </cell>
        </row>
        <row r="695">
          <cell r="D695" t="str">
            <v>Operativa</v>
          </cell>
          <cell r="E695" t="str">
            <v>Improdutiva</v>
          </cell>
          <cell r="F695" t="str">
            <v>Produtivo</v>
          </cell>
          <cell r="G695" t="str">
            <v>Improdutivo</v>
          </cell>
          <cell r="I695" t="str">
            <v>Horário Total</v>
          </cell>
          <cell r="AF695" t="str">
            <v>M2143</v>
          </cell>
          <cell r="AG695" t="str">
            <v>Nonel de ligação</v>
          </cell>
          <cell r="AH695" t="str">
            <v>un</v>
          </cell>
          <cell r="AI695">
            <v>19.32</v>
          </cell>
        </row>
        <row r="696">
          <cell r="G696" t="str">
            <v>Custo horário total de equipamentos</v>
          </cell>
          <cell r="AF696" t="str">
            <v>M2144</v>
          </cell>
          <cell r="AG696" t="str">
            <v>Nonel de coluna com 6 m</v>
          </cell>
          <cell r="AH696" t="str">
            <v>un</v>
          </cell>
          <cell r="AI696">
            <v>13.632300000000001</v>
          </cell>
        </row>
        <row r="697">
          <cell r="C697" t="str">
            <v>Quantidade</v>
          </cell>
          <cell r="D697" t="str">
            <v>Unidade</v>
          </cell>
          <cell r="E697" t="str">
            <v>Custo Horário</v>
          </cell>
          <cell r="G697" t="str">
            <v>Custo Horário Total</v>
          </cell>
          <cell r="AF697" t="str">
            <v>M2145</v>
          </cell>
          <cell r="AG697" t="str">
            <v>Série de brocas S-12 - D = 22 mm</v>
          </cell>
          <cell r="AH697" t="str">
            <v>un</v>
          </cell>
          <cell r="AI697">
            <v>545.06870000000004</v>
          </cell>
        </row>
        <row r="698">
          <cell r="C698">
            <v>10</v>
          </cell>
          <cell r="D698" t="str">
            <v>h</v>
          </cell>
          <cell r="F698">
            <v>19.378599999999999</v>
          </cell>
          <cell r="I698">
            <v>193.786</v>
          </cell>
          <cell r="AF698" t="str">
            <v>M2146</v>
          </cell>
          <cell r="AG698" t="str">
            <v>Nonel iniciador com 150 m</v>
          </cell>
          <cell r="AH698" t="str">
            <v>un</v>
          </cell>
          <cell r="AI698">
            <v>153.9966</v>
          </cell>
        </row>
        <row r="699">
          <cell r="C699" t="str">
            <v>Custo horário total de mão de obra</v>
          </cell>
          <cell r="H699">
            <v>193.786</v>
          </cell>
          <cell r="AF699" t="str">
            <v>M2147</v>
          </cell>
          <cell r="AG699" t="str">
            <v>Bits para recicladora</v>
          </cell>
          <cell r="AH699" t="str">
            <v>un</v>
          </cell>
          <cell r="AI699">
            <v>36.121099999999998</v>
          </cell>
        </row>
        <row r="700">
          <cell r="C700" t="str">
            <v>Custo horário total de execução</v>
          </cell>
          <cell r="I700">
            <v>193.786</v>
          </cell>
          <cell r="AF700" t="str">
            <v>M2148</v>
          </cell>
          <cell r="AG700" t="str">
            <v>Porta bits para recicladora</v>
          </cell>
          <cell r="AH700" t="str">
            <v>un</v>
          </cell>
          <cell r="AI700">
            <v>282.44330000000002</v>
          </cell>
        </row>
        <row r="701">
          <cell r="C701" t="str">
            <v>Custo unitário de execução</v>
          </cell>
          <cell r="I701">
            <v>0.64595333333333338</v>
          </cell>
          <cell r="AF701" t="str">
            <v>M2149</v>
          </cell>
          <cell r="AG701" t="str">
            <v>Blocos para recicladora</v>
          </cell>
          <cell r="AH701" t="str">
            <v>un</v>
          </cell>
          <cell r="AI701">
            <v>1615.0854999999999</v>
          </cell>
        </row>
        <row r="702">
          <cell r="G702" t="str">
            <v>Custo do FIC</v>
          </cell>
          <cell r="I702" t="str">
            <v>-</v>
          </cell>
          <cell r="AF702" t="str">
            <v>M2150</v>
          </cell>
          <cell r="AG702" t="str">
            <v>Selante elástico à base de poliuretano e asfalto, tipo Vedaflex 45 ou similar</v>
          </cell>
          <cell r="AH702" t="str">
            <v>kg</v>
          </cell>
          <cell r="AI702">
            <v>38.851999999999997</v>
          </cell>
        </row>
        <row r="703">
          <cell r="G703" t="str">
            <v>Custo do FIT</v>
          </cell>
          <cell r="I703" t="str">
            <v>-</v>
          </cell>
          <cell r="AF703" t="str">
            <v>M2152</v>
          </cell>
          <cell r="AG703" t="str">
            <v>Aditivo de cura para concreto</v>
          </cell>
          <cell r="AH703" t="str">
            <v>kg</v>
          </cell>
          <cell r="AI703">
            <v>9.2256</v>
          </cell>
        </row>
        <row r="704">
          <cell r="C704" t="str">
            <v>Quantidade</v>
          </cell>
          <cell r="D704" t="str">
            <v>Unidade</v>
          </cell>
          <cell r="E704" t="str">
            <v>Preço Unitário</v>
          </cell>
          <cell r="G704" t="str">
            <v>Custo Unitário</v>
          </cell>
          <cell r="AF704" t="str">
            <v>M2153</v>
          </cell>
          <cell r="AG704" t="str">
            <v>Coroa de diamante linha HWG</v>
          </cell>
          <cell r="AH704" t="str">
            <v>un</v>
          </cell>
          <cell r="AI704">
            <v>1261.6022</v>
          </cell>
        </row>
        <row r="705">
          <cell r="C705" t="str">
            <v>Custo unitário total de material</v>
          </cell>
          <cell r="AF705" t="str">
            <v>M2155</v>
          </cell>
          <cell r="AG705" t="str">
            <v>Grama tipo São Carlos</v>
          </cell>
          <cell r="AH705" t="str">
            <v>m²</v>
          </cell>
          <cell r="AI705">
            <v>5.5457999999999998</v>
          </cell>
        </row>
        <row r="706">
          <cell r="C706" t="str">
            <v>Quantidade</v>
          </cell>
          <cell r="D706" t="str">
            <v>Unidade</v>
          </cell>
          <cell r="E706" t="str">
            <v>Custo Unitário</v>
          </cell>
          <cell r="G706" t="str">
            <v>Custo Unitário</v>
          </cell>
          <cell r="AF706" t="str">
            <v>M2156</v>
          </cell>
          <cell r="AG706" t="str">
            <v>Coroa de diamante linha NWG</v>
          </cell>
          <cell r="AH706" t="str">
            <v>un</v>
          </cell>
          <cell r="AI706">
            <v>1065.3601000000001</v>
          </cell>
        </row>
        <row r="707">
          <cell r="C707" t="str">
            <v>Custo total de atividades auxiliares</v>
          </cell>
          <cell r="AF707" t="str">
            <v>M2158</v>
          </cell>
          <cell r="AG707" t="str">
            <v>Argamassa asfáltica</v>
          </cell>
          <cell r="AH707" t="str">
            <v>kg</v>
          </cell>
          <cell r="AI707">
            <v>12.8725</v>
          </cell>
        </row>
        <row r="708">
          <cell r="G708" t="str">
            <v>Subtotal</v>
          </cell>
          <cell r="AF708" t="str">
            <v>M2159</v>
          </cell>
          <cell r="AG708" t="str">
            <v>Tubo de PVC perfurado para drenagem - D = 150 mm</v>
          </cell>
          <cell r="AH708" t="str">
            <v>m</v>
          </cell>
          <cell r="AI708">
            <v>38.325000000000003</v>
          </cell>
        </row>
        <row r="709">
          <cell r="C709" t="str">
            <v>Código</v>
          </cell>
          <cell r="D709" t="str">
            <v>Quantidade</v>
          </cell>
          <cell r="E709" t="str">
            <v>Unidade</v>
          </cell>
          <cell r="F709" t="str">
            <v>Custo Unitário</v>
          </cell>
          <cell r="H709" t="str">
            <v>Custo Unitário</v>
          </cell>
          <cell r="AF709" t="str">
            <v>M2160</v>
          </cell>
          <cell r="AG709" t="str">
            <v>Tubo de PEAD corrugado perfurado - D = 100 mm</v>
          </cell>
          <cell r="AH709" t="str">
            <v>m</v>
          </cell>
          <cell r="AI709">
            <v>10.574199999999999</v>
          </cell>
        </row>
        <row r="710">
          <cell r="C710" t="str">
            <v>Custo unitário total de tempo fixo</v>
          </cell>
          <cell r="AF710" t="str">
            <v>M2162</v>
          </cell>
          <cell r="AG710" t="str">
            <v>Coroa de widia linha AWG</v>
          </cell>
          <cell r="AH710" t="str">
            <v>un</v>
          </cell>
          <cell r="AI710">
            <v>258.64460000000003</v>
          </cell>
        </row>
        <row r="711">
          <cell r="C711" t="str">
            <v>Quantidade</v>
          </cell>
          <cell r="D711" t="str">
            <v>Unidade</v>
          </cell>
          <cell r="E711" t="str">
            <v>DMT</v>
          </cell>
          <cell r="I711" t="str">
            <v>Custo Unitário</v>
          </cell>
          <cell r="AF711" t="str">
            <v>M2163</v>
          </cell>
          <cell r="AG711" t="str">
            <v>Tubo de concreto armado CA 1 - D = 0,40 m</v>
          </cell>
          <cell r="AH711" t="str">
            <v>m</v>
          </cell>
          <cell r="AI711">
            <v>80</v>
          </cell>
        </row>
        <row r="712">
          <cell r="E712" t="str">
            <v>LN</v>
          </cell>
          <cell r="F712" t="str">
            <v>RP</v>
          </cell>
          <cell r="G712" t="str">
            <v>P</v>
          </cell>
          <cell r="AF712" t="str">
            <v>M2164</v>
          </cell>
          <cell r="AG712" t="str">
            <v>Tubo de concreto armado CA 2 - D = 0,40 m</v>
          </cell>
          <cell r="AH712" t="str">
            <v>m</v>
          </cell>
          <cell r="AI712">
            <v>92</v>
          </cell>
        </row>
        <row r="713">
          <cell r="C713" t="str">
            <v>Custo unitário total de transporte</v>
          </cell>
          <cell r="I713" t="str">
            <v>-</v>
          </cell>
          <cell r="AF713" t="str">
            <v>M2165</v>
          </cell>
          <cell r="AG713" t="str">
            <v>Tubo de concreto armado CA 3 - D = 0,40 m</v>
          </cell>
          <cell r="AH713" t="str">
            <v>m</v>
          </cell>
          <cell r="AI713">
            <v>106.5907</v>
          </cell>
        </row>
        <row r="714">
          <cell r="C714">
            <v>4915708</v>
          </cell>
          <cell r="D714" t="str">
            <v>m</v>
          </cell>
          <cell r="E714" t="str">
            <v>Custo unitário direto total</v>
          </cell>
          <cell r="I714">
            <v>0.64595333333333338</v>
          </cell>
          <cell r="AF714" t="str">
            <v>M2166</v>
          </cell>
          <cell r="AG714" t="str">
            <v>Tubo de concreto armado CA 4 - D = 0,40 m</v>
          </cell>
          <cell r="AH714" t="str">
            <v>m</v>
          </cell>
          <cell r="AI714">
            <v>138.66409999999999</v>
          </cell>
        </row>
        <row r="715">
          <cell r="AF715" t="str">
            <v>M2167</v>
          </cell>
          <cell r="AG715" t="str">
            <v>Tubo de concreto armado CA 1 - D = 0,60 m</v>
          </cell>
          <cell r="AH715" t="str">
            <v>m</v>
          </cell>
          <cell r="AI715">
            <v>109</v>
          </cell>
        </row>
        <row r="716">
          <cell r="AF716" t="str">
            <v>M2168</v>
          </cell>
          <cell r="AG716" t="str">
            <v>Tubo de concreto armado CA 2 - D = 0,60 m</v>
          </cell>
          <cell r="AH716" t="str">
            <v>m</v>
          </cell>
          <cell r="AI716">
            <v>145.35</v>
          </cell>
        </row>
        <row r="717">
          <cell r="I717" t="str">
            <v>DNIT</v>
          </cell>
          <cell r="AF717" t="str">
            <v>M2169</v>
          </cell>
          <cell r="AG717" t="str">
            <v>Tubo de concreto armado CA 3 - D = 0,60 m</v>
          </cell>
          <cell r="AH717" t="str">
            <v>m</v>
          </cell>
          <cell r="AI717">
            <v>182.45</v>
          </cell>
        </row>
        <row r="718">
          <cell r="AF718" t="str">
            <v>M2170</v>
          </cell>
          <cell r="AG718" t="str">
            <v>Tubo de concreto armado CA 4 - D = 0,60 m</v>
          </cell>
          <cell r="AH718" t="str">
            <v>m</v>
          </cell>
          <cell r="AI718">
            <v>226.23240000000001</v>
          </cell>
        </row>
        <row r="719">
          <cell r="D719" t="str">
            <v>Outubro/2019</v>
          </cell>
          <cell r="G719" t="str">
            <v>Produção da equipe</v>
          </cell>
          <cell r="H719">
            <v>200</v>
          </cell>
          <cell r="I719" t="str">
            <v>m</v>
          </cell>
          <cell r="AF719" t="str">
            <v>M2171</v>
          </cell>
          <cell r="AG719" t="str">
            <v>Tubo de concreto armado CA 1 - D = 0,80 m</v>
          </cell>
          <cell r="AH719" t="str">
            <v>m</v>
          </cell>
          <cell r="AI719">
            <v>241.67850000000001</v>
          </cell>
        </row>
        <row r="720">
          <cell r="H720" t="str">
            <v>Valores em reais (R$)</v>
          </cell>
          <cell r="AF720" t="str">
            <v>M2172</v>
          </cell>
          <cell r="AG720" t="str">
            <v>Tubo de concreto armado CA 2 - D = 0,80 m</v>
          </cell>
          <cell r="AH720" t="str">
            <v>m</v>
          </cell>
          <cell r="AI720">
            <v>273.75069999999999</v>
          </cell>
        </row>
        <row r="721">
          <cell r="C721" t="str">
            <v>Quantidade</v>
          </cell>
          <cell r="D721" t="str">
            <v>Utilização</v>
          </cell>
          <cell r="F721" t="str">
            <v>Custo Horário</v>
          </cell>
          <cell r="I721" t="str">
            <v>Custo</v>
          </cell>
          <cell r="AF721" t="str">
            <v>M2173</v>
          </cell>
          <cell r="AG721" t="str">
            <v>Tubo de concreto armado CA 3 - D = 0,80 m</v>
          </cell>
          <cell r="AH721" t="str">
            <v>m</v>
          </cell>
          <cell r="AI721">
            <v>274</v>
          </cell>
        </row>
        <row r="722">
          <cell r="D722" t="str">
            <v>Operativa</v>
          </cell>
          <cell r="E722" t="str">
            <v>Improdutiva</v>
          </cell>
          <cell r="F722" t="str">
            <v>Produtivo</v>
          </cell>
          <cell r="G722" t="str">
            <v>Improdutivo</v>
          </cell>
          <cell r="I722" t="str">
            <v>Horário Total</v>
          </cell>
          <cell r="AF722" t="str">
            <v>M2174</v>
          </cell>
          <cell r="AG722" t="str">
            <v>Tubo de concreto armado CA 4 - D = 0,80 m</v>
          </cell>
          <cell r="AH722" t="str">
            <v>m</v>
          </cell>
          <cell r="AI722">
            <v>293.12720000000002</v>
          </cell>
        </row>
        <row r="723">
          <cell r="G723" t="str">
            <v>Custo horário total de equipamentos</v>
          </cell>
          <cell r="AF723" t="str">
            <v>M2175</v>
          </cell>
          <cell r="AG723" t="str">
            <v>Tubo de concreto armado CA 1 - D = 1,00 m</v>
          </cell>
          <cell r="AH723" t="str">
            <v>m</v>
          </cell>
          <cell r="AI723">
            <v>282.91000000000003</v>
          </cell>
        </row>
        <row r="724">
          <cell r="C724" t="str">
            <v>Quantidade</v>
          </cell>
          <cell r="D724" t="str">
            <v>Unidade</v>
          </cell>
          <cell r="E724" t="str">
            <v>Custo Horário</v>
          </cell>
          <cell r="G724" t="str">
            <v>Custo Horário Total</v>
          </cell>
          <cell r="AF724" t="str">
            <v>M2176</v>
          </cell>
          <cell r="AG724" t="str">
            <v>Tubo de concreto armado CA 2 - D = 1,00 m</v>
          </cell>
          <cell r="AH724" t="str">
            <v>m</v>
          </cell>
          <cell r="AI724">
            <v>365.4</v>
          </cell>
        </row>
        <row r="725">
          <cell r="C725">
            <v>10</v>
          </cell>
          <cell r="D725" t="str">
            <v>h</v>
          </cell>
          <cell r="F725">
            <v>19.378599999999999</v>
          </cell>
          <cell r="I725">
            <v>193.786</v>
          </cell>
          <cell r="AF725" t="str">
            <v>M2177</v>
          </cell>
          <cell r="AG725" t="str">
            <v>Tubo de concreto armado CA 3 - D = 1,00 m</v>
          </cell>
          <cell r="AH725" t="str">
            <v>m</v>
          </cell>
          <cell r="AI725">
            <v>411.11340000000001</v>
          </cell>
        </row>
        <row r="726">
          <cell r="C726" t="str">
            <v>Custo horário total de mão de obra</v>
          </cell>
          <cell r="H726">
            <v>193.786</v>
          </cell>
          <cell r="AF726" t="str">
            <v>M2178</v>
          </cell>
          <cell r="AG726" t="str">
            <v>Tubo de concreto armado CA 4 - D = 1,00 m</v>
          </cell>
          <cell r="AH726" t="str">
            <v>m</v>
          </cell>
          <cell r="AI726">
            <v>429.94760000000002</v>
          </cell>
        </row>
        <row r="727">
          <cell r="C727" t="str">
            <v>Custo horário total de execução</v>
          </cell>
          <cell r="I727">
            <v>193.786</v>
          </cell>
          <cell r="AF727" t="str">
            <v>M2179</v>
          </cell>
          <cell r="AG727" t="str">
            <v>Tubo de concreto armado CA 1 - D = 1,20 m</v>
          </cell>
          <cell r="AH727" t="str">
            <v>m</v>
          </cell>
          <cell r="AI727">
            <v>378.3</v>
          </cell>
        </row>
        <row r="728">
          <cell r="C728" t="str">
            <v>Custo unitário de execução</v>
          </cell>
          <cell r="I728">
            <v>0.96892999999999996</v>
          </cell>
          <cell r="AF728" t="str">
            <v>M2180</v>
          </cell>
          <cell r="AG728" t="str">
            <v>Tubo de concreto armado CA 2 - D = 1,20 m</v>
          </cell>
          <cell r="AH728" t="str">
            <v>m</v>
          </cell>
          <cell r="AI728">
            <v>379.3938</v>
          </cell>
        </row>
        <row r="729">
          <cell r="G729" t="str">
            <v>Custo do FIC</v>
          </cell>
          <cell r="I729" t="str">
            <v>-</v>
          </cell>
          <cell r="AF729" t="str">
            <v>M2181</v>
          </cell>
          <cell r="AG729" t="str">
            <v>Tubo de concreto armado CA 3 - D = 1,20 m</v>
          </cell>
          <cell r="AH729" t="str">
            <v>m</v>
          </cell>
          <cell r="AI729">
            <v>444.71390000000002</v>
          </cell>
        </row>
        <row r="730">
          <cell r="G730" t="str">
            <v>Custo do FIT</v>
          </cell>
          <cell r="I730" t="str">
            <v>-</v>
          </cell>
          <cell r="AF730" t="str">
            <v>M2182</v>
          </cell>
          <cell r="AG730" t="str">
            <v>Tubo de concreto armado CA 4 - D = 1,20 m</v>
          </cell>
          <cell r="AH730" t="str">
            <v>m</v>
          </cell>
          <cell r="AI730">
            <v>596.09</v>
          </cell>
        </row>
        <row r="731">
          <cell r="C731" t="str">
            <v>Quantidade</v>
          </cell>
          <cell r="D731" t="str">
            <v>Unidade</v>
          </cell>
          <cell r="E731" t="str">
            <v>Preço Unitário</v>
          </cell>
          <cell r="G731" t="str">
            <v>Custo Unitário</v>
          </cell>
          <cell r="AF731" t="str">
            <v>M2183</v>
          </cell>
          <cell r="AG731" t="str">
            <v>Tubo de concreto armado CA 1 - D = 1,50 m</v>
          </cell>
          <cell r="AH731" t="str">
            <v>m</v>
          </cell>
          <cell r="AI731">
            <v>563.83860000000004</v>
          </cell>
        </row>
        <row r="732">
          <cell r="C732" t="str">
            <v>Custo unitário total de material</v>
          </cell>
          <cell r="AF732" t="str">
            <v>M2184</v>
          </cell>
          <cell r="AG732" t="str">
            <v>Tubo de concreto armado CA 2 - D = 1,50 m</v>
          </cell>
          <cell r="AH732" t="str">
            <v>m</v>
          </cell>
          <cell r="AI732">
            <v>601.44569999999999</v>
          </cell>
        </row>
        <row r="733">
          <cell r="C733" t="str">
            <v>Quantidade</v>
          </cell>
          <cell r="D733" t="str">
            <v>Unidade</v>
          </cell>
          <cell r="E733" t="str">
            <v>Custo Unitário</v>
          </cell>
          <cell r="G733" t="str">
            <v>Custo Unitário</v>
          </cell>
          <cell r="AF733" t="str">
            <v>M2185</v>
          </cell>
          <cell r="AG733" t="str">
            <v>Tubo de concreto armado CA 3 - D = 1,50 m</v>
          </cell>
          <cell r="AH733" t="str">
            <v>m</v>
          </cell>
          <cell r="AI733">
            <v>891.24590000000001</v>
          </cell>
        </row>
        <row r="734">
          <cell r="C734" t="str">
            <v>Custo total de atividades auxiliares</v>
          </cell>
          <cell r="AF734" t="str">
            <v>M2186</v>
          </cell>
          <cell r="AG734" t="str">
            <v>Tubo de concreto armado CA 4 - D = 1,50 m</v>
          </cell>
          <cell r="AH734" t="str">
            <v>m</v>
          </cell>
          <cell r="AI734">
            <v>892</v>
          </cell>
        </row>
        <row r="735">
          <cell r="G735" t="str">
            <v>Subtotal</v>
          </cell>
          <cell r="AF735" t="str">
            <v>M2187</v>
          </cell>
          <cell r="AG735" t="str">
            <v>Tubo de concreto armado CA 1 - D = 0,50 m</v>
          </cell>
          <cell r="AH735" t="str">
            <v>m</v>
          </cell>
          <cell r="AI735">
            <v>90.908199999999994</v>
          </cell>
        </row>
        <row r="736">
          <cell r="C736" t="str">
            <v>Código</v>
          </cell>
          <cell r="D736" t="str">
            <v>Quantidade</v>
          </cell>
          <cell r="E736" t="str">
            <v>Unidade</v>
          </cell>
          <cell r="F736" t="str">
            <v>Custo Unitário</v>
          </cell>
          <cell r="H736" t="str">
            <v>Custo Unitário</v>
          </cell>
          <cell r="AF736" t="str">
            <v>M2188</v>
          </cell>
          <cell r="AG736" t="str">
            <v>Tubo de concreto armado CA 2 - D = 0,50 m</v>
          </cell>
          <cell r="AH736" t="str">
            <v>m</v>
          </cell>
          <cell r="AI736">
            <v>105.01949999999999</v>
          </cell>
        </row>
        <row r="737">
          <cell r="C737" t="str">
            <v>Custo unitário total de tempo fixo</v>
          </cell>
          <cell r="AF737" t="str">
            <v>M2189</v>
          </cell>
          <cell r="AG737" t="str">
            <v>Tubo de concreto armado CA 3 - D = 0,50 m</v>
          </cell>
          <cell r="AH737" t="str">
            <v>m</v>
          </cell>
          <cell r="AI737">
            <v>128.3237</v>
          </cell>
        </row>
        <row r="738">
          <cell r="C738" t="str">
            <v>Quantidade</v>
          </cell>
          <cell r="D738" t="str">
            <v>Unidade</v>
          </cell>
          <cell r="E738" t="str">
            <v>DMT</v>
          </cell>
          <cell r="I738" t="str">
            <v>Custo Unitário</v>
          </cell>
          <cell r="AF738" t="str">
            <v>M2190</v>
          </cell>
          <cell r="AG738" t="str">
            <v>Tubo de concreto armado CA 4 - D = 0,50 m</v>
          </cell>
          <cell r="AH738" t="str">
            <v>m</v>
          </cell>
          <cell r="AI738">
            <v>221.01759999999999</v>
          </cell>
        </row>
        <row r="739">
          <cell r="E739" t="str">
            <v>LN</v>
          </cell>
          <cell r="F739" t="str">
            <v>RP</v>
          </cell>
          <cell r="G739" t="str">
            <v>P</v>
          </cell>
          <cell r="AF739" t="str">
            <v>M2192</v>
          </cell>
          <cell r="AG739" t="str">
            <v>Coroa de widia linha HWG</v>
          </cell>
          <cell r="AH739" t="str">
            <v>un</v>
          </cell>
          <cell r="AI739">
            <v>369.49669999999998</v>
          </cell>
        </row>
        <row r="740">
          <cell r="C740" t="str">
            <v>Custo unitário total de transporte</v>
          </cell>
          <cell r="I740" t="str">
            <v>-</v>
          </cell>
          <cell r="AF740" t="str">
            <v>M2193</v>
          </cell>
          <cell r="AG740" t="str">
            <v>Coroa de widia linha NWG</v>
          </cell>
          <cell r="AH740" t="str">
            <v>un</v>
          </cell>
          <cell r="AI740">
            <v>348.88049999999998</v>
          </cell>
        </row>
        <row r="741">
          <cell r="C741">
            <v>4915709</v>
          </cell>
          <cell r="D741" t="str">
            <v>m</v>
          </cell>
          <cell r="E741" t="str">
            <v>Custo unitário direto total</v>
          </cell>
          <cell r="I741">
            <v>0.96892999999999996</v>
          </cell>
          <cell r="AF741" t="str">
            <v>M2197</v>
          </cell>
          <cell r="AG741" t="str">
            <v>Haste de paredes paralelas com niples linha NW</v>
          </cell>
          <cell r="AH741" t="str">
            <v>m</v>
          </cell>
          <cell r="AI741">
            <v>328.4701</v>
          </cell>
        </row>
        <row r="742">
          <cell r="AF742" t="str">
            <v>M2198</v>
          </cell>
          <cell r="AG742" t="str">
            <v>Trilho UIC 60, aço carbono com 12 m de comprimento</v>
          </cell>
          <cell r="AH742" t="str">
            <v>t</v>
          </cell>
          <cell r="AI742">
            <v>6832.9072999999999</v>
          </cell>
        </row>
        <row r="743">
          <cell r="AF743" t="str">
            <v>M2200</v>
          </cell>
          <cell r="AG743" t="str">
            <v>Trilho TR 45, aço carbono com 12 m de comprimento</v>
          </cell>
          <cell r="AH743" t="str">
            <v>t</v>
          </cell>
          <cell r="AI743">
            <v>5951.9754000000003</v>
          </cell>
        </row>
        <row r="744">
          <cell r="I744" t="str">
            <v>DNIT</v>
          </cell>
          <cell r="AF744" t="str">
            <v>M2202</v>
          </cell>
          <cell r="AG744" t="str">
            <v>Trilho TR 57, aço carbono com 12 m de comprimento</v>
          </cell>
          <cell r="AH744" t="str">
            <v>t</v>
          </cell>
          <cell r="AI744">
            <v>5970.5151999999998</v>
          </cell>
        </row>
        <row r="745">
          <cell r="AF745" t="str">
            <v>M2204</v>
          </cell>
          <cell r="AG745" t="str">
            <v>Trilho TR 68, aço carbono com 12 m de comprimento</v>
          </cell>
          <cell r="AH745" t="str">
            <v>t</v>
          </cell>
          <cell r="AI745">
            <v>6837.9216999999999</v>
          </cell>
        </row>
        <row r="746">
          <cell r="D746" t="str">
            <v>Outubro/2019</v>
          </cell>
          <cell r="G746" t="str">
            <v>Produção da equipe</v>
          </cell>
          <cell r="H746">
            <v>150</v>
          </cell>
          <cell r="I746" t="str">
            <v>m</v>
          </cell>
          <cell r="AF746" t="str">
            <v>M2206</v>
          </cell>
          <cell r="AG746" t="str">
            <v>Lubrificador de trilhos e de flanges de rodas</v>
          </cell>
          <cell r="AH746" t="str">
            <v>un</v>
          </cell>
          <cell r="AI746">
            <v>65578.561700000006</v>
          </cell>
        </row>
        <row r="747">
          <cell r="H747" t="str">
            <v>Valores em reais (R$)</v>
          </cell>
          <cell r="AF747" t="str">
            <v>M2207</v>
          </cell>
          <cell r="AG747" t="str">
            <v>Tirefond de 24 x 188 mm</v>
          </cell>
          <cell r="AH747" t="str">
            <v>un</v>
          </cell>
          <cell r="AI747">
            <v>6.9320000000000004</v>
          </cell>
        </row>
        <row r="748">
          <cell r="C748" t="str">
            <v>Quantidade</v>
          </cell>
          <cell r="D748" t="str">
            <v>Utilização</v>
          </cell>
          <cell r="F748" t="str">
            <v>Custo Horário</v>
          </cell>
          <cell r="I748" t="str">
            <v>Custo</v>
          </cell>
          <cell r="AF748" t="str">
            <v>M2208</v>
          </cell>
          <cell r="AG748" t="str">
            <v>Tirefond de 22,22 x 155 mm</v>
          </cell>
          <cell r="AH748" t="str">
            <v>un</v>
          </cell>
          <cell r="AI748">
            <v>4.0698999999999996</v>
          </cell>
        </row>
        <row r="749">
          <cell r="D749" t="str">
            <v>Operativa</v>
          </cell>
          <cell r="E749" t="str">
            <v>Improdutiva</v>
          </cell>
          <cell r="F749" t="str">
            <v>Produtivo</v>
          </cell>
          <cell r="G749" t="str">
            <v>Improdutivo</v>
          </cell>
          <cell r="I749" t="str">
            <v>Horário Total</v>
          </cell>
          <cell r="AF749" t="str">
            <v>M2209</v>
          </cell>
          <cell r="AG749" t="str">
            <v>Retensor de linha TR 45</v>
          </cell>
          <cell r="AH749" t="str">
            <v>un</v>
          </cell>
          <cell r="AI749">
            <v>29.956800000000001</v>
          </cell>
        </row>
        <row r="750">
          <cell r="G750" t="str">
            <v>Custo horário total de equipamentos</v>
          </cell>
          <cell r="AF750" t="str">
            <v>M2210</v>
          </cell>
          <cell r="AG750" t="str">
            <v>Retensor de linha TR 57</v>
          </cell>
          <cell r="AH750" t="str">
            <v>un</v>
          </cell>
          <cell r="AI750">
            <v>29.962499999999999</v>
          </cell>
        </row>
        <row r="751">
          <cell r="C751" t="str">
            <v>Quantidade</v>
          </cell>
          <cell r="D751" t="str">
            <v>Unidade</v>
          </cell>
          <cell r="E751" t="str">
            <v>Custo Horário</v>
          </cell>
          <cell r="G751" t="str">
            <v>Custo Horário Total</v>
          </cell>
          <cell r="AF751" t="str">
            <v>M2211</v>
          </cell>
          <cell r="AG751" t="str">
            <v>Retensor de linha TR 68</v>
          </cell>
          <cell r="AH751" t="str">
            <v>un</v>
          </cell>
          <cell r="AI751">
            <v>29.9682</v>
          </cell>
        </row>
        <row r="752">
          <cell r="C752">
            <v>10</v>
          </cell>
          <cell r="D752" t="str">
            <v>h</v>
          </cell>
          <cell r="F752">
            <v>19.378599999999999</v>
          </cell>
          <cell r="I752">
            <v>193.786</v>
          </cell>
          <cell r="AF752" t="str">
            <v>M2213</v>
          </cell>
          <cell r="AG752" t="str">
            <v>Placa de apoio para UIC 60 para fixação rígida tirefond</v>
          </cell>
          <cell r="AH752" t="str">
            <v>un</v>
          </cell>
          <cell r="AI752">
            <v>72.230599999999995</v>
          </cell>
        </row>
        <row r="753">
          <cell r="C753" t="str">
            <v>Custo horário total de mão de obra</v>
          </cell>
          <cell r="H753">
            <v>193.786</v>
          </cell>
          <cell r="AF753" t="str">
            <v>M2214</v>
          </cell>
          <cell r="AG753" t="str">
            <v>Grampo elástico Pandrol</v>
          </cell>
          <cell r="AH753" t="str">
            <v>un</v>
          </cell>
          <cell r="AI753">
            <v>9.3832000000000004</v>
          </cell>
        </row>
        <row r="754">
          <cell r="C754" t="str">
            <v>Custo horário total de execução</v>
          </cell>
          <cell r="I754">
            <v>193.786</v>
          </cell>
          <cell r="AF754" t="str">
            <v>M2215</v>
          </cell>
          <cell r="AG754" t="str">
            <v>Placa de apoio para TR 45 para fixação elástica</v>
          </cell>
          <cell r="AH754" t="str">
            <v>un</v>
          </cell>
          <cell r="AI754">
            <v>47.671599999999998</v>
          </cell>
        </row>
        <row r="755">
          <cell r="C755" t="str">
            <v>Custo unitário de execução</v>
          </cell>
          <cell r="I755">
            <v>1.2919066666666668</v>
          </cell>
          <cell r="AF755" t="str">
            <v>M2216</v>
          </cell>
          <cell r="AG755" t="str">
            <v>Placa de apoio para TR 57 para fixação elástica</v>
          </cell>
          <cell r="AH755" t="str">
            <v>un</v>
          </cell>
          <cell r="AI755">
            <v>49.415999999999997</v>
          </cell>
        </row>
        <row r="756">
          <cell r="G756" t="str">
            <v>Custo do FIC</v>
          </cell>
          <cell r="I756" t="str">
            <v>-</v>
          </cell>
          <cell r="AF756" t="str">
            <v>M2217</v>
          </cell>
          <cell r="AG756" t="str">
            <v>Placa de apoio para TR 68 para fixação elástica</v>
          </cell>
          <cell r="AH756" t="str">
            <v>un</v>
          </cell>
          <cell r="AI756">
            <v>68.110100000000003</v>
          </cell>
        </row>
        <row r="757">
          <cell r="G757" t="str">
            <v>Custo do FIT</v>
          </cell>
          <cell r="I757" t="str">
            <v>-</v>
          </cell>
          <cell r="AF757" t="str">
            <v>M2218</v>
          </cell>
          <cell r="AG757" t="str">
            <v>Placa de apoio para TR 45 para fixação rígida tirefond</v>
          </cell>
          <cell r="AH757" t="str">
            <v>un</v>
          </cell>
          <cell r="AI757">
            <v>44.3673</v>
          </cell>
        </row>
        <row r="758">
          <cell r="C758" t="str">
            <v>Quantidade</v>
          </cell>
          <cell r="D758" t="str">
            <v>Unidade</v>
          </cell>
          <cell r="E758" t="str">
            <v>Preço Unitário</v>
          </cell>
          <cell r="G758" t="str">
            <v>Custo Unitário</v>
          </cell>
          <cell r="AF758" t="str">
            <v>M2219</v>
          </cell>
          <cell r="AG758" t="str">
            <v>Placa de apoio para TR 57 para fixação rígida tirefond</v>
          </cell>
          <cell r="AH758" t="str">
            <v>un</v>
          </cell>
          <cell r="AI758">
            <v>66.745699999999999</v>
          </cell>
        </row>
        <row r="759">
          <cell r="C759" t="str">
            <v>Custo unitário total de material</v>
          </cell>
          <cell r="AF759" t="str">
            <v>M2220</v>
          </cell>
          <cell r="AG759" t="str">
            <v>Placa de apoio para TR 68 para fixação rígida tirefond</v>
          </cell>
          <cell r="AH759" t="str">
            <v>un</v>
          </cell>
          <cell r="AI759">
            <v>68.043199999999999</v>
          </cell>
        </row>
        <row r="760">
          <cell r="C760" t="str">
            <v>Quantidade</v>
          </cell>
          <cell r="D760" t="str">
            <v>Unidade</v>
          </cell>
          <cell r="E760" t="str">
            <v>Custo Unitário</v>
          </cell>
          <cell r="G760" t="str">
            <v>Custo Unitário</v>
          </cell>
          <cell r="AF760" t="str">
            <v>M2221</v>
          </cell>
          <cell r="AG760" t="str">
            <v>Retensor de linha UIC 60</v>
          </cell>
          <cell r="AH760" t="str">
            <v>un</v>
          </cell>
          <cell r="AI760">
            <v>30.008700000000001</v>
          </cell>
        </row>
        <row r="761">
          <cell r="C761" t="str">
            <v>Custo total de atividades auxiliares</v>
          </cell>
          <cell r="AF761" t="str">
            <v>M2222</v>
          </cell>
          <cell r="AG761" t="str">
            <v>Placa de apoio para UIC 60 para fixação elástica</v>
          </cell>
          <cell r="AH761" t="str">
            <v>un</v>
          </cell>
          <cell r="AI761">
            <v>72.230599999999995</v>
          </cell>
        </row>
        <row r="762">
          <cell r="G762" t="str">
            <v>Subtotal</v>
          </cell>
          <cell r="AF762" t="str">
            <v>M2225</v>
          </cell>
          <cell r="AG762" t="str">
            <v>Tala de junção TJ 45 com 6 furos, não isolada</v>
          </cell>
          <cell r="AH762" t="str">
            <v>par</v>
          </cell>
          <cell r="AI762">
            <v>375.95859999999999</v>
          </cell>
        </row>
        <row r="763">
          <cell r="C763" t="str">
            <v>Código</v>
          </cell>
          <cell r="D763" t="str">
            <v>Quantidade</v>
          </cell>
          <cell r="E763" t="str">
            <v>Unidade</v>
          </cell>
          <cell r="F763" t="str">
            <v>Custo Unitário</v>
          </cell>
          <cell r="H763" t="str">
            <v>Custo Unitário</v>
          </cell>
          <cell r="AF763" t="str">
            <v>M2227</v>
          </cell>
          <cell r="AG763" t="str">
            <v>Tala de junção TJ 57 com 6 furos, não isolada</v>
          </cell>
          <cell r="AH763" t="str">
            <v>par</v>
          </cell>
          <cell r="AI763">
            <v>438.0016</v>
          </cell>
        </row>
        <row r="764">
          <cell r="C764" t="str">
            <v>Custo unitário total de tempo fixo</v>
          </cell>
          <cell r="AF764" t="str">
            <v>PAG15</v>
          </cell>
          <cell r="AI764">
            <v>0</v>
          </cell>
        </row>
        <row r="765">
          <cell r="C765" t="str">
            <v>Quantidade</v>
          </cell>
          <cell r="D765" t="str">
            <v>Unidade</v>
          </cell>
          <cell r="E765" t="str">
            <v>DMT</v>
          </cell>
          <cell r="I765" t="str">
            <v>Custo Unitário</v>
          </cell>
          <cell r="AF765" t="str">
            <v>M2313</v>
          </cell>
          <cell r="AG765" t="str">
            <v>AMV tipo UIC 60, abertura 1:12, bitola larga</v>
          </cell>
          <cell r="AH765" t="str">
            <v>un</v>
          </cell>
          <cell r="AI765">
            <v>207109.6256</v>
          </cell>
        </row>
        <row r="766">
          <cell r="E766" t="str">
            <v>LN</v>
          </cell>
          <cell r="F766" t="str">
            <v>RP</v>
          </cell>
          <cell r="G766" t="str">
            <v>P</v>
          </cell>
          <cell r="AF766" t="str">
            <v>M2314</v>
          </cell>
          <cell r="AG766" t="str">
            <v>AMV tipo UIC 60, abertura 1:14, bitola larga</v>
          </cell>
          <cell r="AH766" t="str">
            <v>un</v>
          </cell>
          <cell r="AI766">
            <v>250364.85949999999</v>
          </cell>
        </row>
        <row r="767">
          <cell r="C767" t="str">
            <v>Custo unitário total de transporte</v>
          </cell>
          <cell r="I767" t="str">
            <v>-</v>
          </cell>
          <cell r="AF767" t="str">
            <v>M2316</v>
          </cell>
          <cell r="AG767" t="str">
            <v>AMV tipo UIC 60, abertura 1:20, bitola larga</v>
          </cell>
          <cell r="AH767" t="str">
            <v>un</v>
          </cell>
          <cell r="AI767">
            <v>250364.85949999999</v>
          </cell>
        </row>
        <row r="768">
          <cell r="C768">
            <v>4915711</v>
          </cell>
          <cell r="D768" t="str">
            <v>m</v>
          </cell>
          <cell r="E768" t="str">
            <v>Custo unitário direto total</v>
          </cell>
          <cell r="I768">
            <v>1.2919066666666668</v>
          </cell>
          <cell r="AF768" t="str">
            <v>M2317</v>
          </cell>
          <cell r="AG768" t="str">
            <v>Revestimento para estaca raiz SCH 80 - D Externo = 141,0 mm - 30,94 kg/m</v>
          </cell>
          <cell r="AH768" t="str">
            <v>m</v>
          </cell>
          <cell r="AI768">
            <v>473.29829999999998</v>
          </cell>
        </row>
        <row r="769">
          <cell r="AF769" t="str">
            <v>M2318</v>
          </cell>
          <cell r="AG769" t="str">
            <v>Revestimento para estaca raiz SCH 80 - D Externo = 168,3 mm - 42,56 kg/m</v>
          </cell>
          <cell r="AH769" t="str">
            <v>m</v>
          </cell>
          <cell r="AI769">
            <v>606.19669999999996</v>
          </cell>
        </row>
        <row r="770">
          <cell r="AF770" t="str">
            <v>M2319</v>
          </cell>
          <cell r="AG770" t="str">
            <v>Revestimento para estaca raiz SCH 80 - D Externo = 219,1 mm - 64,64 kg/m</v>
          </cell>
          <cell r="AH770" t="str">
            <v>m</v>
          </cell>
          <cell r="AI770">
            <v>899.28330000000005</v>
          </cell>
        </row>
        <row r="771">
          <cell r="I771" t="str">
            <v>DNIT</v>
          </cell>
          <cell r="AF771" t="str">
            <v>M2320</v>
          </cell>
          <cell r="AG771" t="str">
            <v>Revestimento para estaca raiz SCH 80 - D Externo = 273,0 mm - 95,97 kg/m</v>
          </cell>
          <cell r="AH771" t="str">
            <v>m</v>
          </cell>
          <cell r="AI771">
            <v>1313.6641999999999</v>
          </cell>
        </row>
        <row r="772">
          <cell r="AF772" t="str">
            <v>M2321</v>
          </cell>
          <cell r="AG772" t="str">
            <v>Revestimento para estaca raiz SCH 80 - D Externo = 323,8 mm - 132,04 kg/m</v>
          </cell>
          <cell r="AH772" t="str">
            <v>m</v>
          </cell>
          <cell r="AI772">
            <v>1517.0694000000001</v>
          </cell>
        </row>
        <row r="773">
          <cell r="D773" t="str">
            <v>Outubro/2019</v>
          </cell>
          <cell r="G773" t="str">
            <v>Produção da equipe</v>
          </cell>
          <cell r="H773">
            <v>5</v>
          </cell>
          <cell r="I773" t="str">
            <v>m³</v>
          </cell>
          <cell r="AF773" t="str">
            <v>M2334</v>
          </cell>
          <cell r="AG773" t="str">
            <v>Coroa de widia linha BWG</v>
          </cell>
          <cell r="AH773" t="str">
            <v>un</v>
          </cell>
          <cell r="AI773">
            <v>274.87909999999999</v>
          </cell>
        </row>
        <row r="774">
          <cell r="H774" t="str">
            <v>Valores em reais (R$)</v>
          </cell>
          <cell r="AF774" t="str">
            <v>M2356</v>
          </cell>
          <cell r="AG774" t="str">
            <v>Brita padrão para lastro ferroviário</v>
          </cell>
          <cell r="AH774" t="str">
            <v>m³</v>
          </cell>
          <cell r="AI774">
            <v>61.357900000000001</v>
          </cell>
        </row>
        <row r="775">
          <cell r="C775" t="str">
            <v>Quantidade</v>
          </cell>
          <cell r="D775" t="str">
            <v>Utilização</v>
          </cell>
          <cell r="F775" t="str">
            <v>Custo Horário</v>
          </cell>
          <cell r="I775" t="str">
            <v>Custo</v>
          </cell>
          <cell r="AF775" t="str">
            <v>M2358</v>
          </cell>
          <cell r="AG775" t="str">
            <v>Palmilha de borracha para dormente de concreto</v>
          </cell>
          <cell r="AH775" t="str">
            <v>un</v>
          </cell>
          <cell r="AI775">
            <v>12.510199999999999</v>
          </cell>
        </row>
        <row r="776">
          <cell r="D776" t="str">
            <v>Operativa</v>
          </cell>
          <cell r="E776" t="str">
            <v>Improdutiva</v>
          </cell>
          <cell r="F776" t="str">
            <v>Produtivo</v>
          </cell>
          <cell r="G776" t="str">
            <v>Improdutivo</v>
          </cell>
          <cell r="I776" t="str">
            <v>Horário Total</v>
          </cell>
          <cell r="AF776" t="str">
            <v>M2359</v>
          </cell>
          <cell r="AG776" t="str">
            <v>Porção de solda aluminotérmica para trilho UIC 60</v>
          </cell>
          <cell r="AH776" t="str">
            <v>un</v>
          </cell>
          <cell r="AI776">
            <v>185.3657</v>
          </cell>
        </row>
        <row r="777">
          <cell r="G777" t="str">
            <v>Custo horário total de equipamentos</v>
          </cell>
          <cell r="AF777" t="str">
            <v>M2360</v>
          </cell>
          <cell r="AG777" t="str">
            <v>Kit para solda aluminotérmica de trilho TR 45</v>
          </cell>
          <cell r="AH777" t="str">
            <v>cj</v>
          </cell>
          <cell r="AI777">
            <v>186.63339999999999</v>
          </cell>
        </row>
        <row r="778">
          <cell r="C778" t="str">
            <v>Quantidade</v>
          </cell>
          <cell r="D778" t="str">
            <v>Unidade</v>
          </cell>
          <cell r="E778" t="str">
            <v>Custo Horário</v>
          </cell>
          <cell r="G778" t="str">
            <v>Custo Horário Total</v>
          </cell>
          <cell r="AF778" t="str">
            <v>M2361</v>
          </cell>
          <cell r="AG778" t="str">
            <v>Kit para solda aluminotérmica de trilho TR 57</v>
          </cell>
          <cell r="AH778" t="str">
            <v>cj</v>
          </cell>
          <cell r="AI778">
            <v>195.70490000000001</v>
          </cell>
        </row>
        <row r="779">
          <cell r="C779">
            <v>5</v>
          </cell>
          <cell r="D779" t="str">
            <v>h</v>
          </cell>
          <cell r="F779">
            <v>19.378599999999999</v>
          </cell>
          <cell r="I779">
            <v>96.893000000000001</v>
          </cell>
          <cell r="AF779" t="str">
            <v>M2362</v>
          </cell>
          <cell r="AG779" t="str">
            <v>Kit para solda aluminotérmica de trilho TR 68</v>
          </cell>
          <cell r="AH779" t="str">
            <v>cj</v>
          </cell>
          <cell r="AI779">
            <v>198.72300000000001</v>
          </cell>
        </row>
        <row r="780">
          <cell r="C780" t="str">
            <v>Custo horário total de mão de obra</v>
          </cell>
          <cell r="H780">
            <v>96.893000000000001</v>
          </cell>
          <cell r="AF780" t="str">
            <v>M2363</v>
          </cell>
          <cell r="AG780" t="str">
            <v>Kit para solda aluminotérmica de trilho UIC 60</v>
          </cell>
          <cell r="AH780" t="str">
            <v>cj</v>
          </cell>
          <cell r="AI780">
            <v>198.11770000000001</v>
          </cell>
        </row>
        <row r="781">
          <cell r="C781" t="str">
            <v>Custo horário total de execução</v>
          </cell>
          <cell r="I781">
            <v>96.893000000000001</v>
          </cell>
          <cell r="AF781" t="str">
            <v>M2364</v>
          </cell>
          <cell r="AG781" t="str">
            <v>Broca para furar trilho - D = 1 1/8"</v>
          </cell>
          <cell r="AH781" t="str">
            <v>un</v>
          </cell>
          <cell r="AI781">
            <v>725.17280000000005</v>
          </cell>
        </row>
        <row r="782">
          <cell r="C782" t="str">
            <v>Custo unitário de execução</v>
          </cell>
          <cell r="I782">
            <v>19.378599999999999</v>
          </cell>
          <cell r="AF782" t="str">
            <v>M2365</v>
          </cell>
          <cell r="AG782" t="str">
            <v>Disco de corte de 35 cm</v>
          </cell>
          <cell r="AH782" t="str">
            <v>un</v>
          </cell>
          <cell r="AI782">
            <v>18.908300000000001</v>
          </cell>
        </row>
        <row r="783">
          <cell r="G783" t="str">
            <v>Custo do FIC</v>
          </cell>
          <cell r="I783" t="str">
            <v>-</v>
          </cell>
          <cell r="AF783" t="str">
            <v>M2370</v>
          </cell>
          <cell r="AG783" t="str">
            <v>Dormentes de madeira para AMV</v>
          </cell>
          <cell r="AH783" t="str">
            <v>m³</v>
          </cell>
          <cell r="AI783">
            <v>2825.1880999999998</v>
          </cell>
        </row>
        <row r="784">
          <cell r="G784" t="str">
            <v>Custo do FIT</v>
          </cell>
          <cell r="I784" t="str">
            <v>-</v>
          </cell>
          <cell r="AF784" t="str">
            <v>M2379</v>
          </cell>
          <cell r="AG784" t="str">
            <v>Coroa de diamante linha BWG</v>
          </cell>
          <cell r="AH784" t="str">
            <v>un</v>
          </cell>
          <cell r="AI784">
            <v>827.71590000000003</v>
          </cell>
        </row>
        <row r="785">
          <cell r="C785" t="str">
            <v>Quantidade</v>
          </cell>
          <cell r="D785" t="str">
            <v>Unidade</v>
          </cell>
          <cell r="E785" t="str">
            <v>Preço Unitário</v>
          </cell>
          <cell r="G785" t="str">
            <v>Custo Unitário</v>
          </cell>
          <cell r="AF785" t="str">
            <v>M2383</v>
          </cell>
          <cell r="AG785" t="str">
            <v>Revestimento com conector linha BW</v>
          </cell>
          <cell r="AH785" t="str">
            <v>m</v>
          </cell>
          <cell r="AI785">
            <v>219.39670000000001</v>
          </cell>
        </row>
        <row r="786">
          <cell r="C786" t="str">
            <v>Custo unitário total de material</v>
          </cell>
          <cell r="AF786" t="str">
            <v>M2386</v>
          </cell>
          <cell r="AG786" t="str">
            <v>Corda de nylon torcida com 4 pernas - D = 10 mm</v>
          </cell>
          <cell r="AH786" t="str">
            <v>m</v>
          </cell>
          <cell r="AI786">
            <v>4.1195000000000004</v>
          </cell>
        </row>
        <row r="787">
          <cell r="C787" t="str">
            <v>Quantidade</v>
          </cell>
          <cell r="D787" t="str">
            <v>Unidade</v>
          </cell>
          <cell r="E787" t="str">
            <v>Custo Unitário</v>
          </cell>
          <cell r="G787" t="str">
            <v>Custo Unitário</v>
          </cell>
          <cell r="AF787" t="str">
            <v>M2388</v>
          </cell>
          <cell r="AG787" t="str">
            <v>Broca de widia de 5/8"</v>
          </cell>
          <cell r="AH787" t="str">
            <v>un</v>
          </cell>
          <cell r="AI787">
            <v>36.975999999999999</v>
          </cell>
        </row>
        <row r="788">
          <cell r="C788" t="str">
            <v>Custo total de atividades auxiliares</v>
          </cell>
          <cell r="AF788" t="str">
            <v>M2389</v>
          </cell>
          <cell r="AG788" t="str">
            <v>Broca de widia de 3/4"</v>
          </cell>
          <cell r="AH788" t="str">
            <v>un</v>
          </cell>
          <cell r="AI788">
            <v>68.321100000000001</v>
          </cell>
        </row>
        <row r="789">
          <cell r="G789" t="str">
            <v>Subtotal</v>
          </cell>
          <cell r="AF789" t="str">
            <v>M2419</v>
          </cell>
          <cell r="AG789" t="str">
            <v>Parafuso cabeça abaulada M6 com porca e arruela</v>
          </cell>
          <cell r="AH789" t="str">
            <v>un</v>
          </cell>
          <cell r="AI789">
            <v>1.1088</v>
          </cell>
        </row>
        <row r="790">
          <cell r="C790" t="str">
            <v>Código</v>
          </cell>
          <cell r="D790" t="str">
            <v>Quantidade</v>
          </cell>
          <cell r="E790" t="str">
            <v>Unidade</v>
          </cell>
          <cell r="F790" t="str">
            <v>Custo Unitário</v>
          </cell>
          <cell r="H790" t="str">
            <v>Custo Unitário</v>
          </cell>
          <cell r="AF790" t="str">
            <v>M2420</v>
          </cell>
          <cell r="AG790" t="str">
            <v>Parafuso cabeça abaulada M8 com porca e arruela</v>
          </cell>
          <cell r="AH790" t="str">
            <v>un</v>
          </cell>
          <cell r="AI790">
            <v>2.1082000000000001</v>
          </cell>
        </row>
        <row r="791">
          <cell r="C791" t="str">
            <v>Custo unitário total de tempo fixo</v>
          </cell>
          <cell r="AF791" t="str">
            <v>M2421</v>
          </cell>
          <cell r="AG791" t="str">
            <v>Mangueira cristal trançado ar/água com capacidade de 250 lb - D = 3/8"</v>
          </cell>
          <cell r="AH791" t="str">
            <v>m</v>
          </cell>
          <cell r="AI791">
            <v>2.6779999999999999</v>
          </cell>
        </row>
        <row r="792">
          <cell r="C792" t="str">
            <v>Quantidade</v>
          </cell>
          <cell r="D792" t="str">
            <v>Unidade</v>
          </cell>
          <cell r="E792" t="str">
            <v>DMT</v>
          </cell>
          <cell r="I792" t="str">
            <v>Custo Unitário</v>
          </cell>
          <cell r="AF792" t="str">
            <v>M2422</v>
          </cell>
          <cell r="AG792" t="str">
            <v>Mangueira cristal trançado ar/água com capacidade de 250 lb - D = 1/2"</v>
          </cell>
          <cell r="AH792" t="str">
            <v>m</v>
          </cell>
          <cell r="AI792">
            <v>3.5350000000000001</v>
          </cell>
        </row>
        <row r="793">
          <cell r="E793" t="str">
            <v>LN</v>
          </cell>
          <cell r="F793" t="str">
            <v>RP</v>
          </cell>
          <cell r="G793" t="str">
            <v>P</v>
          </cell>
          <cell r="AF793" t="str">
            <v>M2423</v>
          </cell>
          <cell r="AG793" t="str">
            <v>Forma plástica para nicho de protensão de cordoalha - D = 15,2 mm</v>
          </cell>
          <cell r="AH793" t="str">
            <v>un</v>
          </cell>
          <cell r="AI793">
            <v>1.6984999999999999</v>
          </cell>
        </row>
        <row r="794">
          <cell r="C794" t="str">
            <v>Custo unitário total de transporte</v>
          </cell>
          <cell r="I794" t="str">
            <v>-</v>
          </cell>
          <cell r="AF794" t="str">
            <v>M2424</v>
          </cell>
          <cell r="AG794" t="str">
            <v>Forma plástica para nicho de protensão de cordoalha - D = 12,7 mm</v>
          </cell>
          <cell r="AH794" t="str">
            <v>un</v>
          </cell>
          <cell r="AI794">
            <v>0.65949999999999998</v>
          </cell>
        </row>
        <row r="795">
          <cell r="C795">
            <v>4915712</v>
          </cell>
          <cell r="D795" t="str">
            <v>m³</v>
          </cell>
          <cell r="E795" t="str">
            <v>Custo unitário direto total</v>
          </cell>
          <cell r="I795">
            <v>19.378599999999999</v>
          </cell>
          <cell r="AF795" t="str">
            <v>M2425</v>
          </cell>
          <cell r="AG795" t="str">
            <v>Cordoalha engraxada CP 190 RB - D = 15,2 mm</v>
          </cell>
          <cell r="AH795" t="str">
            <v>kg</v>
          </cell>
          <cell r="AI795">
            <v>9.9870000000000001</v>
          </cell>
        </row>
        <row r="796">
          <cell r="AF796" t="str">
            <v>M2426</v>
          </cell>
          <cell r="AG796" t="str">
            <v>Cordoalha engraxada CP 190 RB - D = 12,7 mm</v>
          </cell>
          <cell r="AH796" t="str">
            <v>kg</v>
          </cell>
          <cell r="AI796">
            <v>10.276199999999999</v>
          </cell>
        </row>
        <row r="797">
          <cell r="AF797" t="str">
            <v>M2427</v>
          </cell>
          <cell r="AG797" t="str">
            <v>Bainha metálica - D = 35 mm</v>
          </cell>
          <cell r="AH797" t="str">
            <v>m</v>
          </cell>
          <cell r="AI797">
            <v>13.341699999999999</v>
          </cell>
        </row>
        <row r="798">
          <cell r="I798" t="str">
            <v>DNIT</v>
          </cell>
          <cell r="AF798" t="str">
            <v>M2428</v>
          </cell>
          <cell r="AG798" t="str">
            <v>Bainha metálica - D = 30 mm</v>
          </cell>
          <cell r="AH798" t="str">
            <v>m</v>
          </cell>
          <cell r="AI798">
            <v>12.257400000000001</v>
          </cell>
        </row>
        <row r="799">
          <cell r="AF799" t="str">
            <v>M2429</v>
          </cell>
          <cell r="AG799" t="str">
            <v>Ancoragem passiva aderente para 8 cordoalhas - D = 15,2 mm</v>
          </cell>
          <cell r="AH799" t="str">
            <v>un</v>
          </cell>
          <cell r="AI799">
            <v>192.77940000000001</v>
          </cell>
        </row>
        <row r="800">
          <cell r="D800" t="str">
            <v>Outubro/2019</v>
          </cell>
          <cell r="G800" t="str">
            <v>Produção da equipe</v>
          </cell>
          <cell r="H800">
            <v>1</v>
          </cell>
          <cell r="I800" t="str">
            <v>m³</v>
          </cell>
          <cell r="AF800" t="str">
            <v>M2430</v>
          </cell>
          <cell r="AG800" t="str">
            <v>Ancoragem passiva aderente para 31 cordoalhas - D = 15,2 mm</v>
          </cell>
          <cell r="AH800" t="str">
            <v>un</v>
          </cell>
          <cell r="AI800">
            <v>726.76980000000003</v>
          </cell>
        </row>
        <row r="801">
          <cell r="H801" t="str">
            <v>Valores em reais (R$)</v>
          </cell>
          <cell r="AF801" t="str">
            <v>M2431</v>
          </cell>
          <cell r="AG801" t="str">
            <v>Ancoragem ativa para cordoalha engraxada - D = 12,7 mm</v>
          </cell>
          <cell r="AH801" t="str">
            <v>un</v>
          </cell>
          <cell r="AI801">
            <v>84.277500000000003</v>
          </cell>
        </row>
        <row r="802">
          <cell r="C802" t="str">
            <v>Quantidade</v>
          </cell>
          <cell r="D802" t="str">
            <v>Utilização</v>
          </cell>
          <cell r="F802" t="str">
            <v>Custo Horário</v>
          </cell>
          <cell r="I802" t="str">
            <v>Custo</v>
          </cell>
          <cell r="AF802" t="str">
            <v>M2432</v>
          </cell>
          <cell r="AG802" t="str">
            <v>Ancoragem ativa para cordoalha engraxada - D = 15,2 mm</v>
          </cell>
          <cell r="AH802" t="str">
            <v>un</v>
          </cell>
          <cell r="AI802">
            <v>107.3051</v>
          </cell>
        </row>
        <row r="803">
          <cell r="D803" t="str">
            <v>Operativa</v>
          </cell>
          <cell r="E803" t="str">
            <v>Improdutiva</v>
          </cell>
          <cell r="F803" t="str">
            <v>Produtivo</v>
          </cell>
          <cell r="G803" t="str">
            <v>Improdutivo</v>
          </cell>
          <cell r="I803" t="str">
            <v>Horário Total</v>
          </cell>
          <cell r="AF803" t="str">
            <v>M2433</v>
          </cell>
          <cell r="AG803" t="str">
            <v>Ancoragem passiva aderente para 10 cordoalhas - D = 12,7 mm</v>
          </cell>
          <cell r="AH803" t="str">
            <v>un</v>
          </cell>
          <cell r="AI803">
            <v>154.29159999999999</v>
          </cell>
        </row>
        <row r="804">
          <cell r="C804">
            <v>1</v>
          </cell>
          <cell r="D804">
            <v>0.2</v>
          </cell>
          <cell r="E804">
            <v>0</v>
          </cell>
          <cell r="F804">
            <v>87.298900000000003</v>
          </cell>
          <cell r="G804">
            <v>37.209699999999998</v>
          </cell>
          <cell r="I804">
            <v>17.459780000000002</v>
          </cell>
          <cell r="AF804" t="str">
            <v>M2533</v>
          </cell>
          <cell r="AG804" t="str">
            <v>Chapa múltipla MP 100 galvanizada - E = 1,6 mm e D = 0,8 m</v>
          </cell>
          <cell r="AH804" t="str">
            <v>m</v>
          </cell>
          <cell r="AI804">
            <v>709.76840000000004</v>
          </cell>
        </row>
        <row r="805">
          <cell r="C805">
            <v>1</v>
          </cell>
          <cell r="D805">
            <v>1</v>
          </cell>
          <cell r="E805">
            <v>0</v>
          </cell>
          <cell r="F805">
            <v>0.89610000000000001</v>
          </cell>
          <cell r="G805">
            <v>0.50270000000000004</v>
          </cell>
          <cell r="I805">
            <v>0.89610000000000001</v>
          </cell>
          <cell r="AF805" t="str">
            <v>M2533</v>
          </cell>
          <cell r="AG805" t="str">
            <v>Chapa múltipla MP 100 galvanizada - E = 1,6 mm e D = 0,8 m</v>
          </cell>
          <cell r="AH805" t="str">
            <v>m</v>
          </cell>
          <cell r="AI805">
            <v>709.76840000000004</v>
          </cell>
        </row>
        <row r="806">
          <cell r="G806" t="str">
            <v>Custo horário total de equipamentos</v>
          </cell>
          <cell r="I806">
            <v>18.355880000000003</v>
          </cell>
          <cell r="AF806" t="str">
            <v>M2434</v>
          </cell>
          <cell r="AG806" t="str">
            <v>Ancoragem passiva aderente para 12 cordoalhas - D = 12,7 mm</v>
          </cell>
          <cell r="AH806" t="str">
            <v>un</v>
          </cell>
          <cell r="AI806">
            <v>184.89439999999999</v>
          </cell>
        </row>
        <row r="807">
          <cell r="C807" t="str">
            <v>Quantidade</v>
          </cell>
          <cell r="D807" t="str">
            <v>Unidade</v>
          </cell>
          <cell r="E807" t="str">
            <v>Custo Horário</v>
          </cell>
          <cell r="G807" t="str">
            <v>Custo Horário Total</v>
          </cell>
          <cell r="AF807" t="str">
            <v>M2435</v>
          </cell>
          <cell r="AG807" t="str">
            <v>Ancoragem passiva aderente para 12 cordoalhas - D = 15,2 mm</v>
          </cell>
          <cell r="AH807" t="str">
            <v>un</v>
          </cell>
          <cell r="AI807">
            <v>262.2937</v>
          </cell>
        </row>
        <row r="808">
          <cell r="C808">
            <v>3</v>
          </cell>
          <cell r="D808" t="str">
            <v>h</v>
          </cell>
          <cell r="F808">
            <v>19.378599999999999</v>
          </cell>
          <cell r="I808">
            <v>58.135799999999996</v>
          </cell>
          <cell r="AF808" t="str">
            <v>M2436</v>
          </cell>
          <cell r="AG808" t="str">
            <v>Ancoragem passiva aderente para 15 cordoalhas - D = 12,7 mm</v>
          </cell>
          <cell r="AH808" t="str">
            <v>un</v>
          </cell>
          <cell r="AI808">
            <v>277.70780000000002</v>
          </cell>
        </row>
        <row r="809">
          <cell r="C809" t="str">
            <v>Custo horário total de mão de obra</v>
          </cell>
          <cell r="H809">
            <v>58.135799999999996</v>
          </cell>
          <cell r="AF809" t="str">
            <v>M2437</v>
          </cell>
          <cell r="AG809" t="str">
            <v>Ancoragem passiva aderente para 15 cordoalhas - D = 15,2 mm</v>
          </cell>
          <cell r="AH809" t="str">
            <v>un</v>
          </cell>
          <cell r="AI809">
            <v>340.73680000000002</v>
          </cell>
        </row>
        <row r="810">
          <cell r="C810" t="str">
            <v>Custo horário total de execução</v>
          </cell>
          <cell r="I810">
            <v>76.491680000000002</v>
          </cell>
          <cell r="AF810" t="str">
            <v>M2438</v>
          </cell>
          <cell r="AG810" t="str">
            <v>Ancoragem passiva aderente para 19 cordoalhas - D = 12,7 mm</v>
          </cell>
          <cell r="AH810" t="str">
            <v>un</v>
          </cell>
          <cell r="AI810">
            <v>354.53649999999999</v>
          </cell>
        </row>
        <row r="811">
          <cell r="C811" t="str">
            <v>Custo unitário de execução</v>
          </cell>
          <cell r="I811">
            <v>76.491680000000002</v>
          </cell>
          <cell r="AF811" t="str">
            <v>M2439</v>
          </cell>
          <cell r="AG811" t="str">
            <v>Ancoragem passiva aderente para 19 cordoalhas - D = 15,2 mm</v>
          </cell>
          <cell r="AH811" t="str">
            <v>un</v>
          </cell>
          <cell r="AI811">
            <v>433.3603</v>
          </cell>
        </row>
        <row r="812">
          <cell r="G812" t="str">
            <v>Custo do FIC</v>
          </cell>
          <cell r="I812" t="str">
            <v>-</v>
          </cell>
          <cell r="AF812" t="str">
            <v>M2440</v>
          </cell>
          <cell r="AG812" t="str">
            <v>Ancoragem passiva aderente para 22 cordoalhas - D = 12,7 mm</v>
          </cell>
          <cell r="AH812" t="str">
            <v>un</v>
          </cell>
          <cell r="AI812">
            <v>418.07909999999998</v>
          </cell>
        </row>
        <row r="813">
          <cell r="G813" t="str">
            <v>Custo do FIT</v>
          </cell>
          <cell r="I813" t="str">
            <v>-</v>
          </cell>
          <cell r="AF813" t="str">
            <v>M2441</v>
          </cell>
          <cell r="AG813" t="str">
            <v>Ancoragem passiva aderente para 22 cordoalhas - D = 15,2 mm</v>
          </cell>
          <cell r="AH813" t="str">
            <v>un</v>
          </cell>
          <cell r="AI813">
            <v>505.5025</v>
          </cell>
        </row>
        <row r="814">
          <cell r="C814" t="str">
            <v>Quantidade</v>
          </cell>
          <cell r="D814" t="str">
            <v>Unidade</v>
          </cell>
          <cell r="E814" t="str">
            <v>Preço Unitário</v>
          </cell>
          <cell r="G814" t="str">
            <v>Custo Unitário</v>
          </cell>
          <cell r="AF814" t="str">
            <v>M2442</v>
          </cell>
          <cell r="AG814" t="str">
            <v>Ancoragem passiva aderente para 27 cordoalhas - D = 12,7 mm</v>
          </cell>
          <cell r="AH814" t="str">
            <v>un</v>
          </cell>
          <cell r="AI814">
            <v>523.18679999999995</v>
          </cell>
        </row>
        <row r="815">
          <cell r="C815" t="str">
            <v>Custo unitário total de material</v>
          </cell>
          <cell r="AF815" t="str">
            <v>M2443</v>
          </cell>
          <cell r="AG815" t="str">
            <v>Ancoragem passiva aderente para 27 cordoalhas - D = 15,2 mm</v>
          </cell>
          <cell r="AH815" t="str">
            <v>un</v>
          </cell>
          <cell r="AI815">
            <v>628.72630000000004</v>
          </cell>
        </row>
        <row r="816">
          <cell r="C816" t="str">
            <v>Quantidade</v>
          </cell>
          <cell r="D816" t="str">
            <v>Unidade</v>
          </cell>
          <cell r="E816" t="str">
            <v>Custo Unitário</v>
          </cell>
          <cell r="G816" t="str">
            <v>Custo Unitário</v>
          </cell>
          <cell r="AF816" t="str">
            <v>M2444</v>
          </cell>
          <cell r="AG816" t="str">
            <v>Ancoragem passiva aderente para 31 cordoalhas - D = 12,7 mm</v>
          </cell>
          <cell r="AH816" t="str">
            <v>un</v>
          </cell>
          <cell r="AI816">
            <v>601.61919999999998</v>
          </cell>
        </row>
        <row r="817">
          <cell r="C817" t="str">
            <v>Custo total de atividades auxiliares</v>
          </cell>
          <cell r="AF817" t="str">
            <v>M2445</v>
          </cell>
          <cell r="AG817" t="str">
            <v>Ancoragem passiva aderente para 4 cordoalhas - D = 12,7 mm</v>
          </cell>
          <cell r="AH817" t="str">
            <v>un</v>
          </cell>
          <cell r="AI817">
            <v>76.547399999999996</v>
          </cell>
        </row>
        <row r="818">
          <cell r="G818" t="str">
            <v>Subtotal</v>
          </cell>
          <cell r="AF818" t="str">
            <v>M2446</v>
          </cell>
          <cell r="AG818" t="str">
            <v>Ancoragem passiva aderente para 4 cordoalhas - D = 15,2 mm</v>
          </cell>
          <cell r="AH818" t="str">
            <v>un</v>
          </cell>
          <cell r="AI818">
            <v>107.4021</v>
          </cell>
        </row>
        <row r="819">
          <cell r="C819" t="str">
            <v>Código</v>
          </cell>
          <cell r="D819" t="str">
            <v>Quantidade</v>
          </cell>
          <cell r="E819" t="str">
            <v>Unidade</v>
          </cell>
          <cell r="F819" t="str">
            <v>Custo Unitário</v>
          </cell>
          <cell r="H819" t="str">
            <v>Custo Unitário</v>
          </cell>
          <cell r="AF819" t="str">
            <v>M2447</v>
          </cell>
          <cell r="AG819" t="str">
            <v>Ancoragem passiva aderente para 6 cordoalhas - D = 12,7 mm</v>
          </cell>
          <cell r="AH819" t="str">
            <v>un</v>
          </cell>
          <cell r="AI819">
            <v>115.34180000000001</v>
          </cell>
        </row>
        <row r="820">
          <cell r="C820" t="str">
            <v>Custo unitário total de tempo fixo</v>
          </cell>
          <cell r="AF820" t="str">
            <v>M2448</v>
          </cell>
          <cell r="AG820" t="str">
            <v>Ancoragem passiva aderente para 6 cordoalhas - D = 15,2 mm</v>
          </cell>
          <cell r="AH820" t="str">
            <v>un</v>
          </cell>
          <cell r="AI820">
            <v>161.6028</v>
          </cell>
        </row>
        <row r="821">
          <cell r="C821" t="str">
            <v>Quantidade</v>
          </cell>
          <cell r="D821" t="str">
            <v>Unidade</v>
          </cell>
          <cell r="E821" t="str">
            <v>DMT</v>
          </cell>
          <cell r="I821" t="str">
            <v>Custo Unitário</v>
          </cell>
          <cell r="AF821" t="str">
            <v>M2449</v>
          </cell>
          <cell r="AG821" t="str">
            <v>Ancoragem passiva aderente para 7 cordoalhas - D = 12,7 mm</v>
          </cell>
          <cell r="AH821" t="str">
            <v>un</v>
          </cell>
          <cell r="AI821">
            <v>122.99760000000001</v>
          </cell>
        </row>
        <row r="822">
          <cell r="E822" t="str">
            <v>LN</v>
          </cell>
          <cell r="F822" t="str">
            <v>RP</v>
          </cell>
          <cell r="G822" t="str">
            <v>P</v>
          </cell>
          <cell r="AF822" t="str">
            <v>M2450</v>
          </cell>
          <cell r="AG822" t="str">
            <v>Ancoragem passiva aderente para 7 cordoalhas - D = 15,2 mm</v>
          </cell>
          <cell r="AH822" t="str">
            <v>un</v>
          </cell>
          <cell r="AI822">
            <v>169.23840000000001</v>
          </cell>
        </row>
        <row r="823">
          <cell r="C823" t="str">
            <v>Custo unitário total de transporte</v>
          </cell>
          <cell r="I823" t="str">
            <v>-</v>
          </cell>
          <cell r="AF823" t="str">
            <v>M2451</v>
          </cell>
          <cell r="AG823" t="str">
            <v>Ancoragem passiva aderente para 8 cordoalhas - D = 12,7 mm</v>
          </cell>
          <cell r="AH823" t="str">
            <v>un</v>
          </cell>
          <cell r="AI823">
            <v>138.309</v>
          </cell>
        </row>
        <row r="824">
          <cell r="C824">
            <v>4915713</v>
          </cell>
          <cell r="D824" t="str">
            <v>m³</v>
          </cell>
          <cell r="E824" t="str">
            <v>Custo unitário direto total</v>
          </cell>
          <cell r="I824">
            <v>76.491680000000002</v>
          </cell>
          <cell r="AF824" t="str">
            <v>M2452</v>
          </cell>
          <cell r="AG824" t="str">
            <v>Ancoragem passiva aderente para 9 cordoalhas - D = 12,7 mm</v>
          </cell>
          <cell r="AH824" t="str">
            <v>un</v>
          </cell>
          <cell r="AI824">
            <v>153.8768</v>
          </cell>
        </row>
        <row r="825">
          <cell r="AF825" t="str">
            <v>M2453</v>
          </cell>
          <cell r="AG825" t="str">
            <v>Ancoragem passiva aderente para 9 cordoalhas - D = 15,2 mm</v>
          </cell>
          <cell r="AH825" t="str">
            <v>un</v>
          </cell>
          <cell r="AI825">
            <v>215.63300000000001</v>
          </cell>
        </row>
        <row r="826">
          <cell r="AF826" t="str">
            <v>M2454</v>
          </cell>
          <cell r="AG826" t="str">
            <v>Ancoragem passiva aderente para lajes 1 cordoalha - D = 12,7 mm</v>
          </cell>
          <cell r="AH826" t="str">
            <v>un</v>
          </cell>
          <cell r="AI826">
            <v>26.129300000000001</v>
          </cell>
        </row>
        <row r="827">
          <cell r="I827" t="str">
            <v>DNIT</v>
          </cell>
          <cell r="AF827" t="str">
            <v>M2455</v>
          </cell>
          <cell r="AG827" t="str">
            <v>Ancoragem passiva aderente para lajes 1 cordoalha - D = 15,2 mm</v>
          </cell>
          <cell r="AH827" t="str">
            <v>un</v>
          </cell>
          <cell r="AI827">
            <v>39.165900000000001</v>
          </cell>
        </row>
        <row r="828">
          <cell r="AF828" t="str">
            <v>M2456</v>
          </cell>
          <cell r="AG828" t="str">
            <v>Ancoragem passiva aderente para lajes 2 cordoalhas - D = 12,7 mm</v>
          </cell>
          <cell r="AH828" t="str">
            <v>un</v>
          </cell>
          <cell r="AI828">
            <v>36.570799999999998</v>
          </cell>
        </row>
        <row r="829">
          <cell r="D829" t="str">
            <v>Outubro/2019</v>
          </cell>
          <cell r="G829" t="str">
            <v>Produção da equipe</v>
          </cell>
          <cell r="H829">
            <v>2.08</v>
          </cell>
          <cell r="I829" t="str">
            <v>m³</v>
          </cell>
          <cell r="AF829" t="str">
            <v>M2488</v>
          </cell>
          <cell r="AG829" t="str">
            <v>Cinta de elevação tipo Grab com 1 ramal anel, gancho de 3 a 5 m e capacidade de 5.000 kg - segurança 4:1</v>
          </cell>
          <cell r="AH829" t="str">
            <v>un</v>
          </cell>
          <cell r="AI829">
            <v>466.39530000000002</v>
          </cell>
        </row>
        <row r="830">
          <cell r="H830" t="str">
            <v>Valores em reais (R$)</v>
          </cell>
          <cell r="AF830" t="str">
            <v>PAG17</v>
          </cell>
          <cell r="AI830">
            <v>0</v>
          </cell>
        </row>
        <row r="831">
          <cell r="C831" t="str">
            <v>Quantidade</v>
          </cell>
          <cell r="D831" t="str">
            <v>Utilização</v>
          </cell>
          <cell r="F831" t="str">
            <v>Custo Horário</v>
          </cell>
          <cell r="I831" t="str">
            <v>Custo</v>
          </cell>
          <cell r="AF831" t="str">
            <v>M2531</v>
          </cell>
          <cell r="AG831" t="str">
            <v>Chapa múltipla MP 100 galvanizada - E = 1,6 mm e D = 0,6 m</v>
          </cell>
          <cell r="AH831" t="str">
            <v>m</v>
          </cell>
          <cell r="AI831">
            <v>540.77260000000001</v>
          </cell>
        </row>
        <row r="832">
          <cell r="D832" t="str">
            <v>Operativa</v>
          </cell>
          <cell r="E832" t="str">
            <v>Improdutiva</v>
          </cell>
          <cell r="F832" t="str">
            <v>Produtivo</v>
          </cell>
          <cell r="G832" t="str">
            <v>Improdutivo</v>
          </cell>
          <cell r="I832" t="str">
            <v>Horário Total</v>
          </cell>
          <cell r="AF832" t="str">
            <v>M2532</v>
          </cell>
          <cell r="AG832" t="str">
            <v>Chapa múltipla MP 100 galvanizada - E = 1,6 mm e D = 0,7 m</v>
          </cell>
          <cell r="AH832" t="str">
            <v>m</v>
          </cell>
          <cell r="AI832">
            <v>625.2749</v>
          </cell>
        </row>
        <row r="833">
          <cell r="C833">
            <v>1</v>
          </cell>
          <cell r="D833">
            <v>1</v>
          </cell>
          <cell r="E833">
            <v>0</v>
          </cell>
          <cell r="F833">
            <v>6.5407999999999999</v>
          </cell>
          <cell r="G833">
            <v>0.5454</v>
          </cell>
          <cell r="I833">
            <v>6.5407999999999999</v>
          </cell>
          <cell r="AF833" t="str">
            <v>M2533</v>
          </cell>
          <cell r="AG833" t="str">
            <v>Chapa múltipla MP 100 galvanizada - E = 1,6 mm e D = 0,8 m</v>
          </cell>
          <cell r="AH833" t="str">
            <v>m</v>
          </cell>
          <cell r="AI833">
            <v>709.76840000000004</v>
          </cell>
        </row>
        <row r="834">
          <cell r="G834" t="str">
            <v>Custo horário total de equipamentos</v>
          </cell>
          <cell r="I834">
            <v>6.5407999999999999</v>
          </cell>
          <cell r="AF834" t="str">
            <v>M2534</v>
          </cell>
          <cell r="AG834" t="str">
            <v>Chapa múltipla MP 100 galvanizada - E = 1,6 mm e D = 0,9 m</v>
          </cell>
          <cell r="AH834" t="str">
            <v>m</v>
          </cell>
          <cell r="AI834">
            <v>777.3655</v>
          </cell>
        </row>
        <row r="835">
          <cell r="C835" t="str">
            <v>Quantidade</v>
          </cell>
          <cell r="D835" t="str">
            <v>Unidade</v>
          </cell>
          <cell r="E835" t="str">
            <v>Custo Horário</v>
          </cell>
          <cell r="G835" t="str">
            <v>Custo Horário Total</v>
          </cell>
          <cell r="AF835" t="str">
            <v>M2535</v>
          </cell>
          <cell r="AG835" t="str">
            <v>Chapa múltipla MP 100 galvanizada - E = 1,6 mm e D = 1,0 m</v>
          </cell>
          <cell r="AH835" t="str">
            <v>m</v>
          </cell>
          <cell r="AI835">
            <v>861.86879999999996</v>
          </cell>
        </row>
        <row r="836">
          <cell r="C836">
            <v>4</v>
          </cell>
          <cell r="D836" t="str">
            <v>h</v>
          </cell>
          <cell r="F836">
            <v>19.378599999999999</v>
          </cell>
          <cell r="I836">
            <v>77.514399999999995</v>
          </cell>
          <cell r="AF836" t="str">
            <v>M2536</v>
          </cell>
          <cell r="AG836" t="str">
            <v>Chapa múltipla MP 100 galvanizada - E = 1,6 mm e D = 1,1 m</v>
          </cell>
          <cell r="AH836" t="str">
            <v>m</v>
          </cell>
          <cell r="AI836">
            <v>980.16570000000002</v>
          </cell>
        </row>
        <row r="837">
          <cell r="C837" t="str">
            <v>Custo horário total de mão de obra</v>
          </cell>
          <cell r="H837">
            <v>77.514399999999995</v>
          </cell>
          <cell r="AF837" t="str">
            <v>M2537</v>
          </cell>
          <cell r="AG837" t="str">
            <v>Chapa múltipla MP 100 galvanizada - E = 1,6 mm e D = 1,2 m</v>
          </cell>
          <cell r="AH837" t="str">
            <v>m</v>
          </cell>
          <cell r="AI837">
            <v>1047.7641000000001</v>
          </cell>
        </row>
        <row r="838">
          <cell r="C838" t="str">
            <v>Custo horário total de execução</v>
          </cell>
          <cell r="I838">
            <v>84.055199999999999</v>
          </cell>
          <cell r="AF838" t="str">
            <v>M2538</v>
          </cell>
          <cell r="AG838" t="str">
            <v>Chapa múltipla MP 100 galvanizada - E = 1,6 mm e D = 1,3 m</v>
          </cell>
          <cell r="AH838" t="str">
            <v>m</v>
          </cell>
          <cell r="AI838">
            <v>1132.2556</v>
          </cell>
        </row>
        <row r="839">
          <cell r="C839" t="str">
            <v>Custo unitário de execução</v>
          </cell>
          <cell r="I839">
            <v>40.411153846153844</v>
          </cell>
          <cell r="AF839" t="str">
            <v>M2539</v>
          </cell>
          <cell r="AG839" t="str">
            <v>Chapa múltipla MP 100 galvanizada - E = 1,6 mm e D = 1,4 m</v>
          </cell>
          <cell r="AH839" t="str">
            <v>m</v>
          </cell>
          <cell r="AI839">
            <v>1199.8568</v>
          </cell>
        </row>
        <row r="840">
          <cell r="G840" t="str">
            <v>Custo do FIC</v>
          </cell>
          <cell r="H840">
            <v>3.1379999999999998E-2</v>
          </cell>
          <cell r="I840">
            <v>1.2681020076923075</v>
          </cell>
          <cell r="AF840" t="str">
            <v>M2540</v>
          </cell>
          <cell r="AG840" t="str">
            <v>Chapa múltipla MP 100 galvanizada - E = 1,6 mm e D = 1,5 m</v>
          </cell>
          <cell r="AH840" t="str">
            <v>m</v>
          </cell>
          <cell r="AI840">
            <v>1284.3487</v>
          </cell>
        </row>
        <row r="841">
          <cell r="G841" t="str">
            <v>Custo do FIT</v>
          </cell>
          <cell r="I841" t="str">
            <v>-</v>
          </cell>
          <cell r="AF841" t="str">
            <v>M2541</v>
          </cell>
          <cell r="AG841" t="str">
            <v>Chapa múltipla MP 100 galvanizada - E = 1,6 mm e D = 1,6 m</v>
          </cell>
          <cell r="AH841" t="str">
            <v>m</v>
          </cell>
          <cell r="AI841">
            <v>1368.8498999999999</v>
          </cell>
        </row>
        <row r="842">
          <cell r="C842" t="str">
            <v>Quantidade</v>
          </cell>
          <cell r="D842" t="str">
            <v>Unidade</v>
          </cell>
          <cell r="E842" t="str">
            <v>Preço Unitário</v>
          </cell>
          <cell r="G842" t="str">
            <v>Custo Unitário</v>
          </cell>
          <cell r="AF842" t="str">
            <v>M2542</v>
          </cell>
          <cell r="AG842" t="str">
            <v>Chapa múltipla MP 100 galvanizada - E = 1,6 mm e D = 1,7 m</v>
          </cell>
          <cell r="AH842" t="str">
            <v>m</v>
          </cell>
          <cell r="AI842">
            <v>1436.4457</v>
          </cell>
        </row>
        <row r="843">
          <cell r="C843" t="str">
            <v>Custo unitário total de material</v>
          </cell>
          <cell r="AF843" t="str">
            <v>M2543</v>
          </cell>
          <cell r="AG843" t="str">
            <v>Chapa múltipla MP 100 galvanizada - E = 1,6 mm e D = 1,8 m</v>
          </cell>
          <cell r="AH843" t="str">
            <v>m</v>
          </cell>
          <cell r="AI843">
            <v>1520.9390000000001</v>
          </cell>
        </row>
        <row r="844">
          <cell r="C844" t="str">
            <v>Quantidade</v>
          </cell>
          <cell r="D844" t="str">
            <v>Unidade</v>
          </cell>
          <cell r="E844" t="str">
            <v>Custo Unitário</v>
          </cell>
          <cell r="G844" t="str">
            <v>Custo Unitário</v>
          </cell>
          <cell r="AF844" t="str">
            <v>M2544</v>
          </cell>
          <cell r="AG844" t="str">
            <v>Chapa múltipla MP 100 galvanizada - E = 2,0 mm e D = 1,9 m</v>
          </cell>
          <cell r="AH844" t="str">
            <v>m</v>
          </cell>
          <cell r="AI844">
            <v>1793.9177</v>
          </cell>
        </row>
        <row r="845">
          <cell r="C845">
            <v>1.1000000000000001</v>
          </cell>
          <cell r="D845" t="str">
            <v>m³</v>
          </cell>
          <cell r="F845">
            <v>0.96061679126191657</v>
          </cell>
          <cell r="I845">
            <v>1.0566784703881082</v>
          </cell>
          <cell r="AF845" t="str">
            <v>M2545</v>
          </cell>
          <cell r="AG845" t="str">
            <v>Chapa múltipla MP 100 galvanizada - E = 2,0 mm e D = 2,0 m</v>
          </cell>
          <cell r="AH845" t="str">
            <v>m</v>
          </cell>
          <cell r="AI845">
            <v>1890.8981000000001</v>
          </cell>
        </row>
        <row r="846">
          <cell r="C846" t="str">
            <v>Custo total de atividades auxiliares</v>
          </cell>
          <cell r="I846">
            <v>1.0566784703881082</v>
          </cell>
          <cell r="AF846" t="str">
            <v>M2546</v>
          </cell>
          <cell r="AG846" t="str">
            <v>Chapa múltipla MP 100 galvanizada - E = 2,0 mm e D = 2,1 m</v>
          </cell>
          <cell r="AH846" t="str">
            <v>m</v>
          </cell>
          <cell r="AI846">
            <v>2020.1631</v>
          </cell>
        </row>
        <row r="847">
          <cell r="G847" t="str">
            <v>Subtotal</v>
          </cell>
          <cell r="AF847" t="str">
            <v>M2547</v>
          </cell>
          <cell r="AG847" t="str">
            <v>Chapa múltipla MP 100 galvanizada - E = 2,0 mm e D = 2,2 m</v>
          </cell>
          <cell r="AH847" t="str">
            <v>m</v>
          </cell>
          <cell r="AI847">
            <v>2068.6707000000001</v>
          </cell>
        </row>
        <row r="848">
          <cell r="C848" t="str">
            <v>Código</v>
          </cell>
          <cell r="D848" t="str">
            <v>Quantidade</v>
          </cell>
          <cell r="E848" t="str">
            <v>Unidade</v>
          </cell>
          <cell r="F848" t="str">
            <v>Custo Unitário</v>
          </cell>
          <cell r="H848" t="str">
            <v>Custo Unitário</v>
          </cell>
          <cell r="AF848" t="str">
            <v>M2548</v>
          </cell>
          <cell r="AG848" t="str">
            <v>Chapa múltipla MP 100 galvanizada - E = 2,0 mm e D = 2,3 m</v>
          </cell>
          <cell r="AH848" t="str">
            <v>m</v>
          </cell>
          <cell r="AI848">
            <v>2149.4715999999999</v>
          </cell>
        </row>
        <row r="849">
          <cell r="C849">
            <v>5914353</v>
          </cell>
          <cell r="D849">
            <v>2.0625</v>
          </cell>
          <cell r="E849" t="str">
            <v>t</v>
          </cell>
          <cell r="G849">
            <v>0.8</v>
          </cell>
          <cell r="I849">
            <v>1.6500000000000001</v>
          </cell>
          <cell r="AF849" t="str">
            <v>M2549</v>
          </cell>
          <cell r="AG849" t="str">
            <v>Chapa múltipla MP 100 galvanizada - E = 2,7 mm e D = 2,4 m</v>
          </cell>
          <cell r="AH849" t="str">
            <v>m</v>
          </cell>
          <cell r="AI849">
            <v>2838.5796</v>
          </cell>
        </row>
        <row r="850">
          <cell r="C850" t="str">
            <v>Custo unitário total de tempo fixo</v>
          </cell>
          <cell r="I850">
            <v>1.6500000000000001</v>
          </cell>
          <cell r="AF850" t="str">
            <v>M2550</v>
          </cell>
          <cell r="AG850" t="str">
            <v>Chapa múltipla MP 100 galvanizada - E = 3,4 mm e D = 2,5 m</v>
          </cell>
          <cell r="AH850" t="str">
            <v>m</v>
          </cell>
          <cell r="AI850">
            <v>3623.6507000000001</v>
          </cell>
        </row>
        <row r="851">
          <cell r="C851" t="str">
            <v>Quantidade</v>
          </cell>
          <cell r="D851" t="str">
            <v>Unidade</v>
          </cell>
          <cell r="E851" t="str">
            <v>DMT</v>
          </cell>
          <cell r="I851" t="str">
            <v>Custo Unitário</v>
          </cell>
          <cell r="AF851" t="str">
            <v>M2551</v>
          </cell>
          <cell r="AG851" t="str">
            <v>Chapa múltipla MP 100 galvanizada - E = 3,4 mm e D = 2,6 m</v>
          </cell>
          <cell r="AH851" t="str">
            <v>m</v>
          </cell>
          <cell r="AI851">
            <v>3829.7186999999999</v>
          </cell>
        </row>
        <row r="852">
          <cell r="E852" t="str">
            <v>LN</v>
          </cell>
          <cell r="F852" t="str">
            <v>RP</v>
          </cell>
          <cell r="G852" t="str">
            <v>P</v>
          </cell>
          <cell r="AF852" t="str">
            <v>M2552</v>
          </cell>
          <cell r="AG852" t="str">
            <v>Chapa múltipla MP 100 galvanizada - E = 3,4 mm e D = 2,7 m</v>
          </cell>
          <cell r="AH852" t="str">
            <v>m</v>
          </cell>
          <cell r="AI852">
            <v>3903.5214000000001</v>
          </cell>
        </row>
        <row r="853">
          <cell r="C853">
            <v>2.0625</v>
          </cell>
          <cell r="D853" t="str">
            <v>tkm</v>
          </cell>
          <cell r="E853">
            <v>5914314</v>
          </cell>
          <cell r="F853">
            <v>5914329</v>
          </cell>
          <cell r="G853">
            <v>5914344</v>
          </cell>
          <cell r="AF853" t="str">
            <v>M2553</v>
          </cell>
          <cell r="AG853" t="str">
            <v>Chapa múltipla MP 100 galvanizada - E = 3,4 mm e D = 2,8 m</v>
          </cell>
          <cell r="AH853" t="str">
            <v>m</v>
          </cell>
          <cell r="AI853">
            <v>4095.0315000000001</v>
          </cell>
        </row>
        <row r="854">
          <cell r="C854" t="str">
            <v>Custo unitário total de transporte</v>
          </cell>
          <cell r="I854" t="str">
            <v>-</v>
          </cell>
          <cell r="AF854" t="str">
            <v>M2554</v>
          </cell>
          <cell r="AG854" t="str">
            <v>Chapa múltipla MP 152 galvanizada - E = 2,7 mm e D = 1,50 m</v>
          </cell>
          <cell r="AH854" t="str">
            <v>m</v>
          </cell>
          <cell r="AI854">
            <v>2716.5789</v>
          </cell>
        </row>
        <row r="855">
          <cell r="C855">
            <v>4915733</v>
          </cell>
          <cell r="D855" t="str">
            <v>m³</v>
          </cell>
          <cell r="E855" t="str">
            <v>Custo unitário direto total</v>
          </cell>
          <cell r="I855">
            <v>44.385934324234256</v>
          </cell>
          <cell r="AF855" t="str">
            <v>M2555</v>
          </cell>
          <cell r="AG855" t="str">
            <v>Chapa múltipla MP 152 galvanizada - E = 2,7 mm e D = 1,80 m</v>
          </cell>
          <cell r="AH855" t="str">
            <v>m</v>
          </cell>
          <cell r="AI855">
            <v>3284.761</v>
          </cell>
        </row>
        <row r="856">
          <cell r="AF856" t="str">
            <v>M2556</v>
          </cell>
          <cell r="AG856" t="str">
            <v>Chapa múltipla MP 152 galvanizada - E = 2,7 mm e D = 1,90 m</v>
          </cell>
          <cell r="AH856" t="str">
            <v>m</v>
          </cell>
          <cell r="AI856">
            <v>3391.3391000000001</v>
          </cell>
        </row>
        <row r="857">
          <cell r="AF857" t="str">
            <v>M2557</v>
          </cell>
          <cell r="AG857" t="str">
            <v>Chapa múltipla MP 152 galvanizada - E = 2,7 mm e D = 2,15 m</v>
          </cell>
          <cell r="AH857" t="str">
            <v>m</v>
          </cell>
          <cell r="AI857">
            <v>3852.9641999999999</v>
          </cell>
        </row>
        <row r="858">
          <cell r="I858" t="str">
            <v>DNIT</v>
          </cell>
          <cell r="AF858" t="str">
            <v>M2558</v>
          </cell>
          <cell r="AG858" t="str">
            <v>Chapa múltipla MP 152 galvanizada - E = 2,7 mm e D = 2,30 m</v>
          </cell>
          <cell r="AH858" t="str">
            <v>m</v>
          </cell>
          <cell r="AI858">
            <v>4066.0455999999999</v>
          </cell>
        </row>
        <row r="859">
          <cell r="AF859" t="str">
            <v>M2559</v>
          </cell>
          <cell r="AG859" t="str">
            <v>Chapa múltipla MP 152 galvanizada - E = 2,7 mm e D = 2,65 m</v>
          </cell>
          <cell r="AH859" t="str">
            <v>m</v>
          </cell>
          <cell r="AI859">
            <v>4758.6247000000003</v>
          </cell>
        </row>
        <row r="860">
          <cell r="D860" t="str">
            <v>Outubro/2019</v>
          </cell>
          <cell r="G860" t="str">
            <v>Produção da equipe</v>
          </cell>
          <cell r="H860">
            <v>54.69</v>
          </cell>
          <cell r="I860" t="str">
            <v>m³</v>
          </cell>
          <cell r="AF860" t="str">
            <v>M2560</v>
          </cell>
          <cell r="AG860" t="str">
            <v>Chapa múltipla MP 152 galvanizada - E = 2,7 mm e D = 3,05 m</v>
          </cell>
          <cell r="AH860" t="str">
            <v>m</v>
          </cell>
          <cell r="AI860">
            <v>5433.1477000000004</v>
          </cell>
        </row>
        <row r="861">
          <cell r="H861" t="str">
            <v>Valores em reais (R$)</v>
          </cell>
          <cell r="AF861" t="str">
            <v>M2561</v>
          </cell>
          <cell r="AG861" t="str">
            <v>Chapa múltipla MP 152 galvanizada - E = 2,7 mm e D = 3,20 m</v>
          </cell>
          <cell r="AH861" t="str">
            <v>m</v>
          </cell>
          <cell r="AI861">
            <v>5770.6286</v>
          </cell>
        </row>
        <row r="862">
          <cell r="C862" t="str">
            <v>Quantidade</v>
          </cell>
          <cell r="D862" t="str">
            <v>Utilização</v>
          </cell>
          <cell r="F862" t="str">
            <v>Custo Horário</v>
          </cell>
          <cell r="I862" t="str">
            <v>Custo</v>
          </cell>
          <cell r="AF862" t="str">
            <v>M2562</v>
          </cell>
          <cell r="AG862" t="str">
            <v>Chapa múltipla MP 152 galvanizada - E = 2,7 mm e D = 3,40 m</v>
          </cell>
          <cell r="AH862" t="str">
            <v>m</v>
          </cell>
          <cell r="AI862">
            <v>6108.1233000000002</v>
          </cell>
        </row>
        <row r="863">
          <cell r="D863" t="str">
            <v>Operativa</v>
          </cell>
          <cell r="E863" t="str">
            <v>Improdutiva</v>
          </cell>
          <cell r="F863" t="str">
            <v>Produtivo</v>
          </cell>
          <cell r="G863" t="str">
            <v>Improdutivo</v>
          </cell>
          <cell r="I863" t="str">
            <v>Horário Total</v>
          </cell>
          <cell r="AF863" t="str">
            <v>M2563</v>
          </cell>
          <cell r="AG863" t="str">
            <v>Chapa múltipla MP 152 galvanizada - E = 2,7 mm e D = 3,65 m</v>
          </cell>
          <cell r="AH863" t="str">
            <v>m</v>
          </cell>
          <cell r="AI863">
            <v>6552.1022000000003</v>
          </cell>
        </row>
        <row r="864">
          <cell r="C864">
            <v>1</v>
          </cell>
          <cell r="D864">
            <v>0.43</v>
          </cell>
          <cell r="E864">
            <v>0.57000000000000006</v>
          </cell>
          <cell r="F864">
            <v>150.82040000000001</v>
          </cell>
          <cell r="G864">
            <v>45.980899999999998</v>
          </cell>
          <cell r="I864">
            <v>91.061885000000004</v>
          </cell>
          <cell r="AF864" t="str">
            <v>M2564</v>
          </cell>
          <cell r="AG864" t="str">
            <v>Chapa múltipla MP 152 galvanizada - E = 2,7 mm e D = 3,80 m</v>
          </cell>
          <cell r="AH864" t="str">
            <v>m</v>
          </cell>
          <cell r="AI864">
            <v>6782.8881000000001</v>
          </cell>
        </row>
        <row r="865">
          <cell r="C865">
            <v>1</v>
          </cell>
          <cell r="D865">
            <v>0.27</v>
          </cell>
          <cell r="E865">
            <v>0.73</v>
          </cell>
          <cell r="F865">
            <v>129.10759999999999</v>
          </cell>
          <cell r="G865">
            <v>58.992699999999999</v>
          </cell>
          <cell r="I865">
            <v>77.923722999999995</v>
          </cell>
          <cell r="AF865" t="str">
            <v>M2565</v>
          </cell>
          <cell r="AG865" t="str">
            <v>Chapa múltipla MP 152 galvanizada - E = 2,7 mm e D = 4,20 m</v>
          </cell>
          <cell r="AH865" t="str">
            <v>m</v>
          </cell>
          <cell r="AI865">
            <v>7475.473</v>
          </cell>
        </row>
        <row r="866">
          <cell r="C866">
            <v>1</v>
          </cell>
          <cell r="D866">
            <v>1</v>
          </cell>
          <cell r="E866">
            <v>0</v>
          </cell>
          <cell r="F866">
            <v>170.50630000000001</v>
          </cell>
          <cell r="G866">
            <v>77.839100000000002</v>
          </cell>
          <cell r="I866">
            <v>170.50630000000001</v>
          </cell>
          <cell r="AF866" t="str">
            <v>M2566</v>
          </cell>
          <cell r="AG866" t="str">
            <v>Chapa múltipla MP 152 galvanizada - E = 2,7 mm e D = 4,60 m</v>
          </cell>
          <cell r="AH866" t="str">
            <v>m</v>
          </cell>
          <cell r="AI866">
            <v>8149.7266</v>
          </cell>
        </row>
        <row r="867">
          <cell r="G867" t="str">
            <v>Custo horário total de equipamentos</v>
          </cell>
          <cell r="I867">
            <v>339.49190800000002</v>
          </cell>
          <cell r="AF867" t="str">
            <v>M2567</v>
          </cell>
          <cell r="AG867" t="str">
            <v>Chapa múltipla MP 152 galvanizada - E = 3,4 mm e D = 4,80 m</v>
          </cell>
          <cell r="AH867" t="str">
            <v>m</v>
          </cell>
          <cell r="AI867">
            <v>9394.9447</v>
          </cell>
        </row>
        <row r="868">
          <cell r="C868" t="str">
            <v>Quantidade</v>
          </cell>
          <cell r="D868" t="str">
            <v>Unidade</v>
          </cell>
          <cell r="E868" t="str">
            <v>Custo Horário</v>
          </cell>
          <cell r="G868" t="str">
            <v>Custo Horário Total</v>
          </cell>
          <cell r="AF868" t="str">
            <v>M2568</v>
          </cell>
          <cell r="AG868" t="str">
            <v>Chapa múltipla MP 152 galvanizada - E = 3,4 mm e D = 5,00 m</v>
          </cell>
          <cell r="AH868" t="str">
            <v>m</v>
          </cell>
          <cell r="AI868">
            <v>9660.2140999999992</v>
          </cell>
        </row>
        <row r="869">
          <cell r="C869">
            <v>3</v>
          </cell>
          <cell r="D869" t="str">
            <v>h</v>
          </cell>
          <cell r="F869">
            <v>19.378599999999999</v>
          </cell>
          <cell r="I869">
            <v>58.135799999999996</v>
          </cell>
          <cell r="AF869" t="str">
            <v>M2569</v>
          </cell>
          <cell r="AG869" t="str">
            <v>Chapa múltipla MP 152 galvanizada - E = 3,9 mm e D = 5,35 m</v>
          </cell>
          <cell r="AH869" t="str">
            <v>m</v>
          </cell>
          <cell r="AI869">
            <v>12409.665800000001</v>
          </cell>
        </row>
        <row r="870">
          <cell r="C870" t="str">
            <v>Custo horário total de mão de obra</v>
          </cell>
          <cell r="H870">
            <v>58.135799999999996</v>
          </cell>
          <cell r="AF870" t="str">
            <v>M2570</v>
          </cell>
          <cell r="AG870" t="str">
            <v>Chapa múltipla MP 152 galvanizada - E = 3,9 mm e D = 5,70 m</v>
          </cell>
          <cell r="AH870" t="str">
            <v>m</v>
          </cell>
          <cell r="AI870">
            <v>13297.490900000001</v>
          </cell>
        </row>
        <row r="871">
          <cell r="C871" t="str">
            <v>Custo horário total de execução</v>
          </cell>
          <cell r="I871">
            <v>397.62770800000004</v>
          </cell>
          <cell r="AF871" t="str">
            <v>M2571</v>
          </cell>
          <cell r="AG871" t="str">
            <v>Chapa múltipla MP 152 galvanizada - E = 4,7 mm e D = 6,10 m</v>
          </cell>
          <cell r="AH871" t="str">
            <v>m</v>
          </cell>
          <cell r="AI871">
            <v>16301.310600000001</v>
          </cell>
        </row>
        <row r="872">
          <cell r="C872" t="str">
            <v>Custo unitário de execução</v>
          </cell>
          <cell r="I872">
            <v>7.2705742914609628</v>
          </cell>
          <cell r="AF872" t="str">
            <v>M2572</v>
          </cell>
          <cell r="AG872" t="str">
            <v>Chapa múltipla MP 152 galvanizada - E = 6,4 mm e D = 6,50 m</v>
          </cell>
          <cell r="AH872" t="str">
            <v>m</v>
          </cell>
          <cell r="AI872">
            <v>19517.915700000001</v>
          </cell>
        </row>
        <row r="873">
          <cell r="G873" t="str">
            <v>Custo do FIC</v>
          </cell>
          <cell r="H873">
            <v>3.1379999999999998E-2</v>
          </cell>
          <cell r="I873">
            <v>0.22815062126604499</v>
          </cell>
          <cell r="AF873" t="str">
            <v>M2573</v>
          </cell>
          <cell r="AG873" t="str">
            <v>Chapa múltipla MP 152 galvanizada - E = 6,4 mm e D = 6,85 m</v>
          </cell>
          <cell r="AH873" t="str">
            <v>m</v>
          </cell>
          <cell r="AI873">
            <v>20664.719700000001</v>
          </cell>
        </row>
        <row r="874">
          <cell r="G874" t="str">
            <v>Custo do FIT</v>
          </cell>
          <cell r="I874" t="str">
            <v>-</v>
          </cell>
          <cell r="AF874" t="str">
            <v>M2574</v>
          </cell>
          <cell r="AG874" t="str">
            <v>Chapa múltipla MP 152 galvanizada - E = 6,4 mm e D = 7,25 m</v>
          </cell>
          <cell r="AH874" t="str">
            <v>m</v>
          </cell>
          <cell r="AI874">
            <v>21804.696100000001</v>
          </cell>
        </row>
        <row r="875">
          <cell r="C875" t="str">
            <v>Quantidade</v>
          </cell>
          <cell r="D875" t="str">
            <v>Unidade</v>
          </cell>
          <cell r="E875" t="str">
            <v>Preço Unitário</v>
          </cell>
          <cell r="G875" t="str">
            <v>Custo Unitário</v>
          </cell>
          <cell r="AF875" t="str">
            <v>M2580</v>
          </cell>
          <cell r="AG875" t="str">
            <v>Parafuso cabeça sextavada - D = 5/16" com porca e arruela de pressão</v>
          </cell>
          <cell r="AH875" t="str">
            <v>cj</v>
          </cell>
          <cell r="AI875">
            <v>0.97929999999999995</v>
          </cell>
        </row>
        <row r="876">
          <cell r="C876" t="str">
            <v>Custo unitário total de material</v>
          </cell>
          <cell r="AF876" t="str">
            <v>M2584</v>
          </cell>
          <cell r="AG876" t="str">
            <v>Vermiculita expandida</v>
          </cell>
          <cell r="AH876" t="str">
            <v>m³</v>
          </cell>
          <cell r="AI876">
            <v>420.75479999999999</v>
          </cell>
        </row>
        <row r="877">
          <cell r="C877" t="str">
            <v>Quantidade</v>
          </cell>
          <cell r="D877" t="str">
            <v>Unidade</v>
          </cell>
          <cell r="E877" t="str">
            <v>Custo Unitário</v>
          </cell>
          <cell r="G877" t="str">
            <v>Custo Unitário</v>
          </cell>
          <cell r="AF877" t="str">
            <v>M2597</v>
          </cell>
          <cell r="AG877" t="str">
            <v>Concreto usinado fck = 40 MPa (comercial)</v>
          </cell>
          <cell r="AH877" t="str">
            <v>m³</v>
          </cell>
          <cell r="AI877">
            <v>0</v>
          </cell>
        </row>
        <row r="878">
          <cell r="C878">
            <v>1.1000000000000001</v>
          </cell>
          <cell r="D878" t="str">
            <v>m³</v>
          </cell>
          <cell r="F878">
            <v>0.96061679126191657</v>
          </cell>
          <cell r="I878">
            <v>1.0566784703881082</v>
          </cell>
          <cell r="AF878" t="str">
            <v>M2598</v>
          </cell>
          <cell r="AG878" t="str">
            <v>Concreto usinado fck = 45 MPa (comercial)</v>
          </cell>
          <cell r="AH878" t="str">
            <v>m³</v>
          </cell>
          <cell r="AI878">
            <v>0</v>
          </cell>
        </row>
        <row r="879">
          <cell r="C879" t="str">
            <v>Custo total de atividades auxiliares</v>
          </cell>
          <cell r="I879">
            <v>1.0566784703881082</v>
          </cell>
          <cell r="AF879" t="str">
            <v>M2599</v>
          </cell>
          <cell r="AG879" t="str">
            <v>Concreto usinado fck = 50 MPa (comercial)</v>
          </cell>
          <cell r="AH879" t="str">
            <v>m³</v>
          </cell>
          <cell r="AI879">
            <v>0</v>
          </cell>
        </row>
        <row r="880">
          <cell r="G880" t="str">
            <v>Subtotal</v>
          </cell>
          <cell r="AF880" t="str">
            <v>M2601</v>
          </cell>
          <cell r="AG880" t="str">
            <v>Aparelho de apoio metálico esférico fixo com 4 chumbadores e capacidade de 1.000 kN</v>
          </cell>
          <cell r="AH880" t="str">
            <v>un</v>
          </cell>
          <cell r="AI880">
            <v>3745.6768999999999</v>
          </cell>
        </row>
        <row r="881">
          <cell r="C881" t="str">
            <v>Código</v>
          </cell>
          <cell r="D881" t="str">
            <v>Quantidade</v>
          </cell>
          <cell r="E881" t="str">
            <v>Unidade</v>
          </cell>
          <cell r="F881" t="str">
            <v>Custo Unitário</v>
          </cell>
          <cell r="H881" t="str">
            <v>Custo Unitário</v>
          </cell>
          <cell r="AF881" t="str">
            <v>M2602</v>
          </cell>
          <cell r="AG881" t="str">
            <v>Aparelho de apoio metálico esférico unidirecional com 4 chumbadores e capacidade de 1.500 kN</v>
          </cell>
          <cell r="AH881" t="str">
            <v>un</v>
          </cell>
          <cell r="AI881">
            <v>8079.3013000000001</v>
          </cell>
        </row>
        <row r="882">
          <cell r="C882">
            <v>5914353</v>
          </cell>
          <cell r="D882">
            <v>2.0625</v>
          </cell>
          <cell r="E882" t="str">
            <v>t</v>
          </cell>
          <cell r="G882">
            <v>0.8</v>
          </cell>
          <cell r="I882">
            <v>1.6500000000000001</v>
          </cell>
          <cell r="AF882" t="str">
            <v>M2603</v>
          </cell>
          <cell r="AG882" t="str">
            <v>Aparelho de apoio metálico esférico fixo com 4 chumbadores e capacidade de 1.500 kN</v>
          </cell>
          <cell r="AH882" t="str">
            <v>un</v>
          </cell>
          <cell r="AI882">
            <v>5603.3917000000001</v>
          </cell>
        </row>
        <row r="883">
          <cell r="C883" t="str">
            <v>Custo unitário total de tempo fixo</v>
          </cell>
          <cell r="I883">
            <v>1.6500000000000001</v>
          </cell>
          <cell r="AF883" t="str">
            <v>M2604</v>
          </cell>
          <cell r="AG883" t="str">
            <v>Aparelho de apoio metálico esférico fixo com 4 chumbadores e capacidade de 2.000 kN</v>
          </cell>
          <cell r="AH883" t="str">
            <v>un</v>
          </cell>
          <cell r="AI883">
            <v>7326.7204000000002</v>
          </cell>
        </row>
        <row r="884">
          <cell r="C884" t="str">
            <v>Quantidade</v>
          </cell>
          <cell r="D884" t="str">
            <v>Unidade</v>
          </cell>
          <cell r="E884" t="str">
            <v>DMT</v>
          </cell>
          <cell r="I884" t="str">
            <v>Custo Unitário</v>
          </cell>
          <cell r="AF884" t="str">
            <v>M2605</v>
          </cell>
          <cell r="AG884" t="str">
            <v>Aparelho de apoio metálico esférico fixo com 4 chumbadores e capacidade de 2.500 kN</v>
          </cell>
          <cell r="AH884" t="str">
            <v>un</v>
          </cell>
          <cell r="AI884">
            <v>9194.5236000000004</v>
          </cell>
        </row>
        <row r="885">
          <cell r="E885" t="str">
            <v>LN</v>
          </cell>
          <cell r="F885" t="str">
            <v>RP</v>
          </cell>
          <cell r="G885" t="str">
            <v>P</v>
          </cell>
          <cell r="AF885" t="str">
            <v>M2606</v>
          </cell>
          <cell r="AG885" t="str">
            <v>Aparelho de apoio metálico esférico fixo com 4 chumbadores e capacidade de 3.000 kN</v>
          </cell>
          <cell r="AH885" t="str">
            <v>un</v>
          </cell>
          <cell r="AI885">
            <v>9870.4940999999999</v>
          </cell>
        </row>
        <row r="886">
          <cell r="C886">
            <v>2.0625</v>
          </cell>
          <cell r="D886" t="str">
            <v>tkm</v>
          </cell>
          <cell r="E886">
            <v>5914314</v>
          </cell>
          <cell r="F886">
            <v>5914329</v>
          </cell>
          <cell r="G886">
            <v>5914344</v>
          </cell>
          <cell r="AF886" t="str">
            <v>M2607</v>
          </cell>
          <cell r="AG886" t="str">
            <v>Aparelho de apoio metálico esférico fixo com 4 chumbadores e capacidade de 3.500 kN</v>
          </cell>
          <cell r="AH886" t="str">
            <v>un</v>
          </cell>
          <cell r="AI886">
            <v>12356.169</v>
          </cell>
        </row>
        <row r="887">
          <cell r="C887" t="str">
            <v>Custo unitário total de transporte</v>
          </cell>
          <cell r="I887" t="str">
            <v>-</v>
          </cell>
          <cell r="AF887" t="str">
            <v>M2608</v>
          </cell>
          <cell r="AG887" t="str">
            <v>Aparelho de apoio metálico esférico fixo com 4 chumbadores e capacidade de 4.000 kN</v>
          </cell>
          <cell r="AH887" t="str">
            <v>un</v>
          </cell>
          <cell r="AI887">
            <v>14656.624900000001</v>
          </cell>
        </row>
        <row r="888">
          <cell r="C888">
            <v>4915734</v>
          </cell>
          <cell r="D888" t="str">
            <v>m³</v>
          </cell>
          <cell r="E888" t="str">
            <v>Custo unitário direto total</v>
          </cell>
          <cell r="I888">
            <v>10.205403383115115</v>
          </cell>
          <cell r="AF888" t="str">
            <v>M2609</v>
          </cell>
          <cell r="AG888" t="str">
            <v>Aparelho de apoio metálico esférico unidirecional com 4 chumbadores e capacidade de 1.000 kN</v>
          </cell>
          <cell r="AH888" t="str">
            <v>un</v>
          </cell>
          <cell r="AI888">
            <v>4463.5370000000003</v>
          </cell>
        </row>
        <row r="889">
          <cell r="AF889" t="str">
            <v>M2610</v>
          </cell>
          <cell r="AG889" t="str">
            <v>Aparelho de apoio metálico esférico unidirecional com 4 chumbadores e capacidade de 2.000 kN</v>
          </cell>
          <cell r="AH889" t="str">
            <v>un</v>
          </cell>
          <cell r="AI889">
            <v>8763.0030999999999</v>
          </cell>
        </row>
        <row r="890">
          <cell r="AF890" t="str">
            <v>M2611</v>
          </cell>
          <cell r="AG890" t="str">
            <v>Aparelho de apoio metálico esférico unidirecional com 4 chumbadores e capacidade de 2.500 kN</v>
          </cell>
          <cell r="AH890" t="str">
            <v>un</v>
          </cell>
          <cell r="AI890">
            <v>11062.4053</v>
          </cell>
        </row>
        <row r="891">
          <cell r="I891" t="str">
            <v>DNIT</v>
          </cell>
          <cell r="AF891" t="str">
            <v>M2612</v>
          </cell>
          <cell r="AG891" t="str">
            <v>Aparelho de apoio metálico esférico unidirecional com 4 chumbadores e capacidade de 3.000 kN</v>
          </cell>
          <cell r="AH891" t="str">
            <v>un</v>
          </cell>
          <cell r="AI891">
            <v>13218.629000000001</v>
          </cell>
        </row>
        <row r="892">
          <cell r="AF892" t="str">
            <v>M2613</v>
          </cell>
          <cell r="AG892" t="str">
            <v>Aparelho de apoio metálico esférico unidirecional com 4 chumbadores e capacidade de 3.500 kN</v>
          </cell>
          <cell r="AH892" t="str">
            <v>un</v>
          </cell>
          <cell r="AI892">
            <v>15516.802900000001</v>
          </cell>
        </row>
        <row r="893">
          <cell r="D893" t="str">
            <v>Outubro/2019</v>
          </cell>
          <cell r="G893" t="str">
            <v>Produção da equipe</v>
          </cell>
          <cell r="H893">
            <v>5</v>
          </cell>
          <cell r="I893" t="str">
            <v>m³</v>
          </cell>
          <cell r="AF893" t="str">
            <v>PAG19</v>
          </cell>
          <cell r="AI893">
            <v>0</v>
          </cell>
        </row>
        <row r="894">
          <cell r="H894" t="str">
            <v>Valores em reais (R$)</v>
          </cell>
          <cell r="AF894" t="str">
            <v>PAG20</v>
          </cell>
          <cell r="AI894">
            <v>0</v>
          </cell>
        </row>
        <row r="895">
          <cell r="C895" t="str">
            <v>Quantidade</v>
          </cell>
          <cell r="D895" t="str">
            <v>Utilização</v>
          </cell>
          <cell r="F895" t="str">
            <v>Custo Horário</v>
          </cell>
          <cell r="I895" t="str">
            <v>Custo</v>
          </cell>
          <cell r="AF895" t="str">
            <v>PAG21</v>
          </cell>
          <cell r="AI895">
            <v>0</v>
          </cell>
        </row>
        <row r="896">
          <cell r="D896" t="str">
            <v>Operativa</v>
          </cell>
          <cell r="E896" t="str">
            <v>Improdutiva</v>
          </cell>
          <cell r="F896" t="str">
            <v>Produtivo</v>
          </cell>
          <cell r="G896" t="str">
            <v>Improdutivo</v>
          </cell>
          <cell r="I896" t="str">
            <v>Horário Total</v>
          </cell>
          <cell r="AF896" t="str">
            <v>PAG22</v>
          </cell>
          <cell r="AI896">
            <v>0</v>
          </cell>
        </row>
        <row r="897">
          <cell r="G897" t="str">
            <v>Custo horário total de equipamentos</v>
          </cell>
          <cell r="AF897" t="str">
            <v>M2866</v>
          </cell>
          <cell r="AG897" t="str">
            <v>Chapa múltipla MP 152S galvanizada de arco alto - E = 4,7 mm, vão = 7,47 m e H = 4,19 m</v>
          </cell>
          <cell r="AH897" t="str">
            <v>m</v>
          </cell>
          <cell r="AI897">
            <v>14234.711600000001</v>
          </cell>
        </row>
        <row r="898">
          <cell r="C898" t="str">
            <v>Quantidade</v>
          </cell>
          <cell r="D898" t="str">
            <v>Unidade</v>
          </cell>
          <cell r="E898" t="str">
            <v>Custo Horário</v>
          </cell>
          <cell r="G898" t="str">
            <v>Custo Horário Total</v>
          </cell>
          <cell r="AF898" t="str">
            <v>M2867</v>
          </cell>
          <cell r="AG898" t="str">
            <v>Chapa múltipla MP 152S galvanizada de arco alto - E = 4,7 mm, vão = 7,85 m e H = 4,60 m</v>
          </cell>
          <cell r="AH898" t="str">
            <v>m</v>
          </cell>
          <cell r="AI898">
            <v>15413.406800000001</v>
          </cell>
        </row>
        <row r="899">
          <cell r="C899">
            <v>3</v>
          </cell>
          <cell r="D899" t="str">
            <v>h</v>
          </cell>
          <cell r="F899">
            <v>19.378599999999999</v>
          </cell>
          <cell r="I899">
            <v>58.135799999999996</v>
          </cell>
          <cell r="AF899" t="str">
            <v>M2868</v>
          </cell>
          <cell r="AG899" t="str">
            <v>Chapa múltipla MP 152S galvanizada de arco alto - E = 4,7 mm, vão = 7,67 m e H = 3,99 m</v>
          </cell>
          <cell r="AH899" t="str">
            <v>m</v>
          </cell>
          <cell r="AI899">
            <v>14023.4125</v>
          </cell>
        </row>
        <row r="900">
          <cell r="C900" t="str">
            <v>Custo horário total de mão de obra</v>
          </cell>
          <cell r="H900">
            <v>58.135799999999996</v>
          </cell>
          <cell r="AF900" t="str">
            <v>M2869</v>
          </cell>
          <cell r="AG900" t="str">
            <v>Chapa múltipla MP 152S galvanizada de arco alto - E = 4,7 mm, vão = 8,08 m e H = 4,65 m</v>
          </cell>
          <cell r="AH900" t="str">
            <v>m</v>
          </cell>
          <cell r="AI900">
            <v>15625.0335</v>
          </cell>
        </row>
        <row r="901">
          <cell r="C901" t="str">
            <v>Custo horário total de execução</v>
          </cell>
          <cell r="I901">
            <v>58.135799999999996</v>
          </cell>
          <cell r="AF901" t="str">
            <v>M2870</v>
          </cell>
          <cell r="AG901" t="str">
            <v>Chapa múltipla MP 152S galvanizada de arco alto - E = 4,7 mm, vão = 7,90 m e H = 4,04 m</v>
          </cell>
          <cell r="AH901" t="str">
            <v>m</v>
          </cell>
          <cell r="AI901">
            <v>14394.9889</v>
          </cell>
        </row>
        <row r="902">
          <cell r="C902" t="str">
            <v>Custo unitário de execução</v>
          </cell>
          <cell r="I902">
            <v>11.62716</v>
          </cell>
          <cell r="AF902" t="str">
            <v>M2871</v>
          </cell>
          <cell r="AG902" t="str">
            <v>Chapa múltipla MP 152S galvanizada de arco alto - E = 4,7 mm, vão = 8,31 m e H = 4,70 m</v>
          </cell>
          <cell r="AH902" t="str">
            <v>m</v>
          </cell>
          <cell r="AI902">
            <v>16003.181200000001</v>
          </cell>
        </row>
        <row r="903">
          <cell r="G903" t="str">
            <v>Custo do FIC</v>
          </cell>
          <cell r="H903">
            <v>3.1379999999999998E-2</v>
          </cell>
          <cell r="I903">
            <v>0.36486028079999999</v>
          </cell>
          <cell r="AF903" t="str">
            <v>M2872</v>
          </cell>
          <cell r="AG903" t="str">
            <v>Chapa múltipla MP 152S galvanizada de arco alto - E = 4,7 mm, vão = 8,36 m e H = 4,11 m</v>
          </cell>
          <cell r="AH903" t="str">
            <v>m</v>
          </cell>
          <cell r="AI903">
            <v>14823.933499999999</v>
          </cell>
        </row>
        <row r="904">
          <cell r="G904" t="str">
            <v>Custo do FIT</v>
          </cell>
          <cell r="I904" t="str">
            <v>-</v>
          </cell>
          <cell r="AF904" t="str">
            <v>M2873</v>
          </cell>
          <cell r="AG904" t="str">
            <v>Chapa múltipla MP 152S galvanizada de arco alto - E = 4,7 mm, vão = 8,97 m e H = 5,00 m</v>
          </cell>
          <cell r="AH904" t="str">
            <v>m</v>
          </cell>
          <cell r="AI904">
            <v>16854.557100000002</v>
          </cell>
        </row>
        <row r="905">
          <cell r="C905" t="str">
            <v>Quantidade</v>
          </cell>
          <cell r="D905" t="str">
            <v>Unidade</v>
          </cell>
          <cell r="E905" t="str">
            <v>Preço Unitário</v>
          </cell>
          <cell r="G905" t="str">
            <v>Custo Unitário</v>
          </cell>
          <cell r="AF905" t="str">
            <v>M2874</v>
          </cell>
          <cell r="AG905" t="str">
            <v>Chapa múltipla MP 152S galvanizada de arco alto - E = 4,7 mm, vão = 8,59 m e H = 4,39 m</v>
          </cell>
          <cell r="AH905" t="str">
            <v>m</v>
          </cell>
          <cell r="AI905">
            <v>15463.1942</v>
          </cell>
        </row>
        <row r="906">
          <cell r="C906" t="str">
            <v>Custo unitário total de material</v>
          </cell>
          <cell r="AF906" t="str">
            <v>M2875</v>
          </cell>
          <cell r="AG906" t="str">
            <v>Chapa múltipla MP 152S galvanizada de arco alto - E = 4,7 mm, vão = 9,17 m e H = 5,49 m</v>
          </cell>
          <cell r="AH906" t="str">
            <v>m</v>
          </cell>
          <cell r="AI906">
            <v>17922.555</v>
          </cell>
        </row>
        <row r="907">
          <cell r="C907" t="str">
            <v>Quantidade</v>
          </cell>
          <cell r="D907" t="str">
            <v>Unidade</v>
          </cell>
          <cell r="E907" t="str">
            <v>Custo Unitário</v>
          </cell>
          <cell r="G907" t="str">
            <v>Custo Unitário</v>
          </cell>
          <cell r="AF907" t="str">
            <v>M2876</v>
          </cell>
          <cell r="AG907" t="str">
            <v>Chapa múltipla MP 152S galvanizada de arco alto - E = 4,7 mm, vão = 9,22 m e H = 4,70 m</v>
          </cell>
          <cell r="AH907" t="str">
            <v>m</v>
          </cell>
          <cell r="AI907">
            <v>16805.232499999998</v>
          </cell>
        </row>
        <row r="908">
          <cell r="C908" t="str">
            <v>Custo total de atividades auxiliares</v>
          </cell>
          <cell r="AF908" t="str">
            <v>M2877</v>
          </cell>
          <cell r="AG908" t="str">
            <v>Chapa múltipla MP 152S galvanizada de arco alto - E = 4,7 mm, vão = 9,63 m e H = 5,59 m</v>
          </cell>
          <cell r="AH908" t="str">
            <v>m</v>
          </cell>
          <cell r="AI908">
            <v>18510.968199999999</v>
          </cell>
        </row>
        <row r="909">
          <cell r="G909" t="str">
            <v>Subtotal</v>
          </cell>
          <cell r="AF909" t="str">
            <v>M2878</v>
          </cell>
          <cell r="AG909" t="str">
            <v>Chapa múltipla MP 152S galvanizada de arco alto - E = 4,7 mm, vão = 9,45 m e H = 4,75 m</v>
          </cell>
          <cell r="AH909" t="str">
            <v>m</v>
          </cell>
          <cell r="AI909">
            <v>17014.824400000001</v>
          </cell>
        </row>
        <row r="910">
          <cell r="C910" t="str">
            <v>Código</v>
          </cell>
          <cell r="D910" t="str">
            <v>Quantidade</v>
          </cell>
          <cell r="E910" t="str">
            <v>Unidade</v>
          </cell>
          <cell r="F910" t="str">
            <v>Custo Unitário</v>
          </cell>
          <cell r="H910" t="str">
            <v>Custo Unitário</v>
          </cell>
          <cell r="AF910" t="str">
            <v>M2879</v>
          </cell>
          <cell r="AG910" t="str">
            <v>Chapa múltipla MP 152S galvanizada de arco alto - E = 4,7 mm, vão = 9,65 m e H = 5,41 m</v>
          </cell>
          <cell r="AH910" t="str">
            <v>m</v>
          </cell>
          <cell r="AI910">
            <v>18301.3763</v>
          </cell>
        </row>
        <row r="911">
          <cell r="C911" t="str">
            <v>Custo unitário total de tempo fixo</v>
          </cell>
          <cell r="AF911" t="str">
            <v>M2880</v>
          </cell>
          <cell r="AG911" t="str">
            <v>Chapa múltipla MP 152S galvanizada de arco alto - E = 4,7 mm, vão = 9,86 m e H = 6,07 m</v>
          </cell>
          <cell r="AH911" t="str">
            <v>m</v>
          </cell>
          <cell r="AI911">
            <v>19904.317999999999</v>
          </cell>
        </row>
        <row r="912">
          <cell r="C912" t="str">
            <v>Quantidade</v>
          </cell>
          <cell r="D912" t="str">
            <v>Unidade</v>
          </cell>
          <cell r="E912" t="str">
            <v>DMT</v>
          </cell>
          <cell r="I912" t="str">
            <v>Custo Unitário</v>
          </cell>
          <cell r="AF912" t="str">
            <v>M2881</v>
          </cell>
          <cell r="AG912" t="str">
            <v>Chapa múltipla MP 152S galvanizada de arco alto - E = 4,7 mm, vão = 9,68 m e H = 5,23 m</v>
          </cell>
          <cell r="AH912" t="str">
            <v>m</v>
          </cell>
          <cell r="AI912">
            <v>18082.832399999999</v>
          </cell>
        </row>
        <row r="913">
          <cell r="E913" t="str">
            <v>LN</v>
          </cell>
          <cell r="F913" t="str">
            <v>RP</v>
          </cell>
          <cell r="G913" t="str">
            <v>P</v>
          </cell>
          <cell r="AF913" t="str">
            <v>M2882</v>
          </cell>
          <cell r="AG913" t="str">
            <v>Chapa múltipla MP 152S galvanizada de arco alto - E = 4,7 mm, vão = 10,08 m e H = 6,12 m</v>
          </cell>
          <cell r="AH913" t="str">
            <v>m</v>
          </cell>
          <cell r="AI913">
            <v>20113.909899999999</v>
          </cell>
        </row>
        <row r="914">
          <cell r="C914" t="str">
            <v>Custo unitário total de transporte</v>
          </cell>
          <cell r="I914" t="str">
            <v>-</v>
          </cell>
          <cell r="AF914" t="str">
            <v>M2883</v>
          </cell>
          <cell r="AG914" t="str">
            <v>Chapa múltipla MP 152S galvanizada de arco alto - E = 4,7 mm, vão = 9,91 m e H = 5,28 m</v>
          </cell>
          <cell r="AH914" t="str">
            <v>m</v>
          </cell>
          <cell r="AI914">
            <v>18301.3763</v>
          </cell>
        </row>
        <row r="915">
          <cell r="C915">
            <v>4915735</v>
          </cell>
          <cell r="D915" t="str">
            <v>m³</v>
          </cell>
          <cell r="E915" t="str">
            <v>Custo unitário direto total</v>
          </cell>
          <cell r="I915">
            <v>11.9920202808</v>
          </cell>
          <cell r="AF915" t="str">
            <v>M2884</v>
          </cell>
          <cell r="AG915" t="str">
            <v>Chapa múltipla MP 152S galvanizada de arco alto - E = 4,7 mm, vão = 10,31 m e H = 6,17 m</v>
          </cell>
          <cell r="AH915" t="str">
            <v>m</v>
          </cell>
          <cell r="AI915">
            <v>20333.178100000001</v>
          </cell>
        </row>
        <row r="916">
          <cell r="AF916" t="str">
            <v>M2885</v>
          </cell>
          <cell r="AG916" t="str">
            <v>Chapa múltipla MP 152S galvanizada de arco alto - E = 4,7 mm, vão = 10,36 m e H = 5,38 m</v>
          </cell>
          <cell r="AH916" t="str">
            <v>m</v>
          </cell>
          <cell r="AI916">
            <v>18883.7569</v>
          </cell>
        </row>
        <row r="917">
          <cell r="AF917" t="str">
            <v>M2886</v>
          </cell>
          <cell r="AG917" t="str">
            <v>Chapa múltipla MP 152S galvanizada de arco alto - E = 4,7 mm, vão = 10,54 m e H = 6,05 m</v>
          </cell>
          <cell r="AH917" t="str">
            <v>m</v>
          </cell>
          <cell r="AI917">
            <v>20493.4555</v>
          </cell>
        </row>
        <row r="918">
          <cell r="I918" t="str">
            <v>DNIT</v>
          </cell>
          <cell r="AF918" t="str">
            <v>M2887</v>
          </cell>
          <cell r="AG918" t="str">
            <v>Chapa múltipla MP 152S galvanizada de arco alto - E = 4,7 mm, vão = 10,74 m e H = 6,48 m</v>
          </cell>
          <cell r="AH918" t="str">
            <v>m</v>
          </cell>
          <cell r="AI918">
            <v>21345.538700000001</v>
          </cell>
        </row>
        <row r="919">
          <cell r="AF919" t="str">
            <v>M2888</v>
          </cell>
          <cell r="AG919" t="str">
            <v>Chapa múltipla MP 152S galvanizada de arco alto - E = 4,7 mm, vão = 11,35 m e H = 7,12 m</v>
          </cell>
          <cell r="AH919" t="str">
            <v>m</v>
          </cell>
          <cell r="AI919">
            <v>22950.511299999998</v>
          </cell>
        </row>
        <row r="920">
          <cell r="D920" t="str">
            <v>Outubro/2019</v>
          </cell>
          <cell r="G920" t="str">
            <v>Produção da equipe</v>
          </cell>
          <cell r="H920">
            <v>139.32</v>
          </cell>
          <cell r="I920" t="str">
            <v>m³</v>
          </cell>
          <cell r="AF920" t="str">
            <v>M2889</v>
          </cell>
          <cell r="AG920" t="str">
            <v>Chapa múltipla MP 152S galvanizada de arco alto - E = 6,4 mm, vão = 10,57 m e H = 5,41 m</v>
          </cell>
          <cell r="AH920" t="str">
            <v>m</v>
          </cell>
          <cell r="AI920">
            <v>25257.1672</v>
          </cell>
        </row>
        <row r="921">
          <cell r="H921" t="str">
            <v>Valores em reais (R$)</v>
          </cell>
          <cell r="AF921" t="str">
            <v>M2890</v>
          </cell>
          <cell r="AG921" t="str">
            <v>Chapa múltipla MP 152S galvanizada de arco alto - E = 6,4 mm, vão = 10,77 m e H = 6,10 m</v>
          </cell>
          <cell r="AH921" t="str">
            <v>m</v>
          </cell>
          <cell r="AI921">
            <v>27380.937600000001</v>
          </cell>
        </row>
        <row r="922">
          <cell r="C922" t="str">
            <v>Quantidade</v>
          </cell>
          <cell r="D922" t="str">
            <v>Utilização</v>
          </cell>
          <cell r="F922" t="str">
            <v>Custo Horário</v>
          </cell>
          <cell r="I922" t="str">
            <v>Custo</v>
          </cell>
          <cell r="AF922" t="str">
            <v>M2891</v>
          </cell>
          <cell r="AG922" t="str">
            <v>Chapa múltipla MP 152S galvanizada de arco alto - E = 6,4 mm, vão = 10,97 m e H = 6,53 m</v>
          </cell>
          <cell r="AH922" t="str">
            <v>m</v>
          </cell>
          <cell r="AI922">
            <v>28021.848600000001</v>
          </cell>
        </row>
        <row r="923">
          <cell r="D923" t="str">
            <v>Operativa</v>
          </cell>
          <cell r="E923" t="str">
            <v>Improdutiva</v>
          </cell>
          <cell r="F923" t="str">
            <v>Produtivo</v>
          </cell>
          <cell r="G923" t="str">
            <v>Improdutivo</v>
          </cell>
          <cell r="I923" t="str">
            <v>Horário Total</v>
          </cell>
          <cell r="AF923" t="str">
            <v>M2892</v>
          </cell>
          <cell r="AG923" t="str">
            <v>Chapa múltipla MP 152S galvanizada de arco alto - E = 6,4 mm, vão = 11,58 m e H = 7,16 m</v>
          </cell>
          <cell r="AH923" t="str">
            <v>m</v>
          </cell>
          <cell r="AI923">
            <v>30665.4221</v>
          </cell>
        </row>
        <row r="924">
          <cell r="C924">
            <v>1</v>
          </cell>
          <cell r="D924">
            <v>1</v>
          </cell>
          <cell r="E924">
            <v>0</v>
          </cell>
          <cell r="F924">
            <v>111.5215</v>
          </cell>
          <cell r="G924">
            <v>56.551699999999997</v>
          </cell>
          <cell r="I924">
            <v>111.5215</v>
          </cell>
          <cell r="AF924" t="str">
            <v>M2893</v>
          </cell>
          <cell r="AG924" t="str">
            <v>Chapa múltipla MP 152S galvanizada ovoide - E = 4,7 mm, vão = 7,21 m e H = 7,82 m</v>
          </cell>
          <cell r="AH924" t="str">
            <v>m</v>
          </cell>
          <cell r="AI924">
            <v>24367.088100000001</v>
          </cell>
        </row>
        <row r="925">
          <cell r="G925" t="str">
            <v>Custo horário total de equipamentos</v>
          </cell>
          <cell r="I925">
            <v>111.5215</v>
          </cell>
          <cell r="AF925" t="str">
            <v>M2894</v>
          </cell>
          <cell r="AG925" t="str">
            <v>Chapa múltipla MP 152S galvanizada ovoide - E = 4,7 mm, vão = 7,31 m e H = 7,87 m</v>
          </cell>
          <cell r="AH925" t="str">
            <v>m</v>
          </cell>
          <cell r="AI925">
            <v>25272.4902</v>
          </cell>
        </row>
        <row r="926">
          <cell r="C926" t="str">
            <v>Quantidade</v>
          </cell>
          <cell r="D926" t="str">
            <v>Unidade</v>
          </cell>
          <cell r="E926" t="str">
            <v>Custo Horário</v>
          </cell>
          <cell r="G926" t="str">
            <v>Custo Horário Total</v>
          </cell>
          <cell r="AF926" t="str">
            <v>M2895</v>
          </cell>
          <cell r="AG926" t="str">
            <v>Chapa múltipla MP 152S galvanizada ovoide - E = 4,7 mm, vão = 7,70 m e H = 7,90 m</v>
          </cell>
          <cell r="AH926" t="str">
            <v>m</v>
          </cell>
          <cell r="AI926">
            <v>25697.8308</v>
          </cell>
        </row>
        <row r="927">
          <cell r="C927">
            <v>2</v>
          </cell>
          <cell r="D927" t="str">
            <v>h</v>
          </cell>
          <cell r="F927">
            <v>19.378599999999999</v>
          </cell>
          <cell r="I927">
            <v>38.757199999999997</v>
          </cell>
          <cell r="AF927" t="str">
            <v>M2896</v>
          </cell>
          <cell r="AG927" t="str">
            <v>Chapa múltipla MP 152S galvanizada ovoide - E = 4,7 mm, vão = 7,57 m e H = 8,44 m</v>
          </cell>
          <cell r="AH927" t="str">
            <v>m</v>
          </cell>
          <cell r="AI927">
            <v>26184.385600000001</v>
          </cell>
        </row>
        <row r="928">
          <cell r="C928" t="str">
            <v>Custo horário total de mão de obra</v>
          </cell>
          <cell r="H928">
            <v>38.757199999999997</v>
          </cell>
          <cell r="AF928" t="str">
            <v>M2897</v>
          </cell>
          <cell r="AG928" t="str">
            <v>Chapa múltipla MP 152S galvanizada ovoide - E = 4,7 mm, vão = 8,36 m e H = 8,23 m</v>
          </cell>
          <cell r="AH928" t="str">
            <v>m</v>
          </cell>
          <cell r="AI928">
            <v>27892.201499999999</v>
          </cell>
        </row>
        <row r="929">
          <cell r="C929" t="str">
            <v>Custo horário total de execução</v>
          </cell>
          <cell r="I929">
            <v>150.27870000000001</v>
          </cell>
          <cell r="AF929" t="str">
            <v>M2898</v>
          </cell>
          <cell r="AG929" t="str">
            <v>Chapa múltipla MP 152S galvanizada ovoide - E = 4,7 mm, vão = 8,13 m e H = 8,01 m</v>
          </cell>
          <cell r="AH929" t="str">
            <v>m</v>
          </cell>
          <cell r="AI929">
            <v>27411.038100000002</v>
          </cell>
        </row>
        <row r="930">
          <cell r="C930" t="str">
            <v>Custo unitário de execução</v>
          </cell>
          <cell r="I930">
            <v>1.0786584840654609</v>
          </cell>
          <cell r="AF930" t="str">
            <v>M2899</v>
          </cell>
          <cell r="AG930" t="str">
            <v>Chapa múltipla MP 152S galvanizada ovoide - E = 4,7 mm, vão = 8,56 m e H = 8,48 m</v>
          </cell>
          <cell r="AH930" t="str">
            <v>m</v>
          </cell>
          <cell r="AI930">
            <v>28157.274799999999</v>
          </cell>
        </row>
        <row r="931">
          <cell r="G931" t="str">
            <v>Custo do FIC</v>
          </cell>
          <cell r="H931">
            <v>3.1379999999999998E-2</v>
          </cell>
          <cell r="I931">
            <v>3.3848303229974161E-2</v>
          </cell>
          <cell r="AF931" t="str">
            <v>M2900</v>
          </cell>
          <cell r="AG931" t="str">
            <v>Chapa múltipla MP 152S galvanizada ovoide - E = 4,7 mm, vão = 8,71 m e H = 9,32 m</v>
          </cell>
          <cell r="AH931" t="str">
            <v>m</v>
          </cell>
          <cell r="AI931">
            <v>29607.972699999998</v>
          </cell>
        </row>
        <row r="932">
          <cell r="G932" t="str">
            <v>Custo do FIT</v>
          </cell>
          <cell r="I932" t="str">
            <v>-</v>
          </cell>
          <cell r="AF932" t="str">
            <v>M2901</v>
          </cell>
          <cell r="AG932" t="str">
            <v>Chapa múltipla MP 152S galvanizada ovoide - E = 4,7 mm, vão = 9,15 m e H = 9,04 m</v>
          </cell>
          <cell r="AH932" t="str">
            <v>m</v>
          </cell>
          <cell r="AI932">
            <v>29817.564600000002</v>
          </cell>
        </row>
        <row r="933">
          <cell r="C933" t="str">
            <v>Quantidade</v>
          </cell>
          <cell r="D933" t="str">
            <v>Unidade</v>
          </cell>
          <cell r="E933" t="str">
            <v>Preço Unitário</v>
          </cell>
          <cell r="G933" t="str">
            <v>Custo Unitário</v>
          </cell>
          <cell r="AF933" t="str">
            <v>M2902</v>
          </cell>
          <cell r="AG933" t="str">
            <v>Chapa múltipla MP 152S galvanizada ovoide - E = 4,7 mm, vão = 9,15 m e H = 9,50 m</v>
          </cell>
          <cell r="AH933" t="str">
            <v>m</v>
          </cell>
          <cell r="AI933">
            <v>30620.778300000002</v>
          </cell>
        </row>
        <row r="934">
          <cell r="C934" t="str">
            <v>Custo unitário total de material</v>
          </cell>
          <cell r="AF934" t="str">
            <v>M2979</v>
          </cell>
          <cell r="AG934" t="str">
            <v>Chumbador em aço CA 25</v>
          </cell>
          <cell r="AH934" t="str">
            <v>kg</v>
          </cell>
          <cell r="AI934">
            <v>3.3348</v>
          </cell>
        </row>
        <row r="935">
          <cell r="C935" t="str">
            <v>Quantidade</v>
          </cell>
          <cell r="D935" t="str">
            <v>Unidade</v>
          </cell>
          <cell r="E935" t="str">
            <v>Custo Unitário</v>
          </cell>
          <cell r="G935" t="str">
            <v>Custo Unitário</v>
          </cell>
          <cell r="AF935" t="str">
            <v>M3035</v>
          </cell>
          <cell r="AG935" t="str">
            <v>Mão francesa em aço</v>
          </cell>
          <cell r="AH935" t="str">
            <v>kg</v>
          </cell>
          <cell r="AI935">
            <v>3.3675000000000002</v>
          </cell>
        </row>
        <row r="936">
          <cell r="C936">
            <v>1</v>
          </cell>
          <cell r="D936" t="str">
            <v>m³</v>
          </cell>
          <cell r="F936">
            <v>3</v>
          </cell>
          <cell r="I936">
            <v>3</v>
          </cell>
          <cell r="AF936" t="str">
            <v>M3087</v>
          </cell>
          <cell r="AG936" t="str">
            <v>Anel de compensação angular em chapa de aço ASTM A36</v>
          </cell>
          <cell r="AH936" t="str">
            <v>kg</v>
          </cell>
          <cell r="AI936">
            <v>42.265700000000002</v>
          </cell>
        </row>
        <row r="937">
          <cell r="C937" t="str">
            <v>Custo total de atividades auxiliares</v>
          </cell>
          <cell r="I937">
            <v>3</v>
          </cell>
          <cell r="AF937" t="str">
            <v>M3089</v>
          </cell>
          <cell r="AG937" t="str">
            <v>Arame liso galvanizado 18 BWG</v>
          </cell>
          <cell r="AH937" t="str">
            <v>kg</v>
          </cell>
          <cell r="AI937">
            <v>7.8526999999999996</v>
          </cell>
        </row>
        <row r="938">
          <cell r="G938" t="str">
            <v>Subtotal</v>
          </cell>
          <cell r="AF938" t="str">
            <v>M3090</v>
          </cell>
          <cell r="AG938" t="str">
            <v>Placa de ancoragem para tirante de 160 x 160 x 20 mm</v>
          </cell>
          <cell r="AH938" t="str">
            <v>un</v>
          </cell>
          <cell r="AI938">
            <v>48.747799999999998</v>
          </cell>
        </row>
        <row r="939">
          <cell r="C939" t="str">
            <v>Código</v>
          </cell>
          <cell r="D939" t="str">
            <v>Quantidade</v>
          </cell>
          <cell r="E939" t="str">
            <v>Unidade</v>
          </cell>
          <cell r="F939" t="str">
            <v>Custo Unitário</v>
          </cell>
          <cell r="H939" t="str">
            <v>Custo Unitário</v>
          </cell>
          <cell r="AF939" t="str">
            <v>M3091</v>
          </cell>
          <cell r="AG939" t="str">
            <v>Porca sextavada de 20 mm a 40 mm para ancoragem de tirantes</v>
          </cell>
          <cell r="AH939" t="str">
            <v>un</v>
          </cell>
          <cell r="AI939">
            <v>56.315300000000001</v>
          </cell>
        </row>
        <row r="940">
          <cell r="C940">
            <v>5914341</v>
          </cell>
          <cell r="D940">
            <v>1.5</v>
          </cell>
          <cell r="E940" t="str">
            <v>t</v>
          </cell>
          <cell r="G940">
            <v>1.17</v>
          </cell>
          <cell r="I940">
            <v>1.7549999999999999</v>
          </cell>
          <cell r="AF940" t="str">
            <v>M3093</v>
          </cell>
          <cell r="AG940" t="str">
            <v>Tela de nylon gramatura 60 fios</v>
          </cell>
          <cell r="AH940" t="str">
            <v>m²</v>
          </cell>
          <cell r="AI940">
            <v>25.090199999999999</v>
          </cell>
        </row>
        <row r="941">
          <cell r="C941" t="str">
            <v>Custo unitário total de tempo fixo</v>
          </cell>
          <cell r="I941">
            <v>1.7549999999999999</v>
          </cell>
          <cell r="AF941" t="str">
            <v>M3094</v>
          </cell>
          <cell r="AG941" t="str">
            <v>Tirante de aço ST 50/55 de capacidade 210 kN - D = 32 mm</v>
          </cell>
          <cell r="AH941" t="str">
            <v>kg</v>
          </cell>
          <cell r="AI941">
            <v>10.7296</v>
          </cell>
        </row>
        <row r="942">
          <cell r="C942" t="str">
            <v>Quantidade</v>
          </cell>
          <cell r="D942" t="str">
            <v>Unidade</v>
          </cell>
          <cell r="E942" t="str">
            <v>DMT</v>
          </cell>
          <cell r="I942" t="str">
            <v>Custo Unitário</v>
          </cell>
          <cell r="AF942" t="str">
            <v>M3095</v>
          </cell>
          <cell r="AG942" t="str">
            <v>Válvula manchete - D = 20 mm</v>
          </cell>
          <cell r="AH942" t="str">
            <v>un</v>
          </cell>
          <cell r="AI942">
            <v>1.7005999999999999</v>
          </cell>
        </row>
        <row r="943">
          <cell r="E943" t="str">
            <v>LN</v>
          </cell>
          <cell r="F943" t="str">
            <v>RP</v>
          </cell>
          <cell r="G943" t="str">
            <v>P</v>
          </cell>
          <cell r="AF943" t="str">
            <v>M3126</v>
          </cell>
          <cell r="AG943" t="str">
            <v>Barra de aço galvanizado</v>
          </cell>
          <cell r="AH943" t="str">
            <v>kg</v>
          </cell>
          <cell r="AI943">
            <v>4.6123000000000003</v>
          </cell>
        </row>
        <row r="944">
          <cell r="C944">
            <v>1.5</v>
          </cell>
          <cell r="D944" t="str">
            <v>tkm</v>
          </cell>
          <cell r="E944">
            <v>5914314</v>
          </cell>
          <cell r="F944">
            <v>5914329</v>
          </cell>
          <cell r="G944">
            <v>5914344</v>
          </cell>
          <cell r="AF944" t="str">
            <v>M3153</v>
          </cell>
          <cell r="AG944" t="str">
            <v>Tinta poliéster em pó</v>
          </cell>
          <cell r="AH944" t="str">
            <v>kg</v>
          </cell>
          <cell r="AI944">
            <v>35.290799999999997</v>
          </cell>
        </row>
        <row r="945">
          <cell r="C945" t="str">
            <v>Custo unitário total de transporte</v>
          </cell>
          <cell r="I945" t="str">
            <v>-</v>
          </cell>
          <cell r="AF945" t="str">
            <v>M3165</v>
          </cell>
          <cell r="AG945" t="str">
            <v>Concertina galvanizada com 4 espiras por metro - D = 450 mm</v>
          </cell>
          <cell r="AH945" t="str">
            <v>m</v>
          </cell>
          <cell r="AI945">
            <v>11.0563</v>
          </cell>
        </row>
        <row r="946">
          <cell r="C946">
            <v>4915737</v>
          </cell>
          <cell r="D946" t="str">
            <v>m³</v>
          </cell>
          <cell r="E946" t="str">
            <v>Custo unitário direto total</v>
          </cell>
          <cell r="I946">
            <v>5.8675067872954347</v>
          </cell>
          <cell r="AF946" t="str">
            <v>M3170</v>
          </cell>
          <cell r="AG946" t="str">
            <v>Apoio de neoprene simples de 100 x 100 x 20 mm</v>
          </cell>
          <cell r="AH946" t="str">
            <v>un</v>
          </cell>
          <cell r="AI946">
            <v>16.223700000000001</v>
          </cell>
        </row>
        <row r="947">
          <cell r="AF947" t="str">
            <v>M3171</v>
          </cell>
          <cell r="AG947" t="str">
            <v>Porca sextavada de 3/8"</v>
          </cell>
          <cell r="AH947" t="str">
            <v>un</v>
          </cell>
          <cell r="AI947">
            <v>0.16669999999999999</v>
          </cell>
        </row>
        <row r="948">
          <cell r="AF948" t="str">
            <v>M3172</v>
          </cell>
          <cell r="AG948" t="str">
            <v>Porca sextavada galvanizada M12, classe 8.8 - D = 13 mm</v>
          </cell>
          <cell r="AH948" t="str">
            <v>un</v>
          </cell>
          <cell r="AI948">
            <v>0.39579999999999999</v>
          </cell>
        </row>
        <row r="949">
          <cell r="I949" t="str">
            <v>DNIT</v>
          </cell>
          <cell r="AF949" t="str">
            <v>M3173</v>
          </cell>
          <cell r="AG949" t="str">
            <v>Parafuso cabeça sextavada zincado a fogo M12 x 30, classe 8.8 - D = 13 mm</v>
          </cell>
          <cell r="AH949" t="str">
            <v>un</v>
          </cell>
          <cell r="AI949">
            <v>1.1318999999999999</v>
          </cell>
        </row>
        <row r="950">
          <cell r="AF950" t="str">
            <v>M3174</v>
          </cell>
          <cell r="AG950" t="str">
            <v>Chumbador em aço SAE 1010/1020, barra chata galvanizada, de 60 x 4 mm</v>
          </cell>
          <cell r="AH950" t="str">
            <v>kg</v>
          </cell>
          <cell r="AI950">
            <v>6.4062000000000001</v>
          </cell>
        </row>
        <row r="951">
          <cell r="D951" t="str">
            <v>Outubro/2019</v>
          </cell>
          <cell r="G951" t="str">
            <v>Produção da equipe</v>
          </cell>
          <cell r="H951">
            <v>0.12</v>
          </cell>
          <cell r="I951" t="str">
            <v>ha</v>
          </cell>
          <cell r="AF951" t="str">
            <v>M3177</v>
          </cell>
          <cell r="AG951" t="str">
            <v>Fita metálica SAE 1010/1020, barra chata galvanizada, de 50 x 4 mm</v>
          </cell>
          <cell r="AH951" t="str">
            <v>kg</v>
          </cell>
          <cell r="AI951">
            <v>10.6317</v>
          </cell>
        </row>
        <row r="952">
          <cell r="H952" t="str">
            <v>Valores em reais (R$)</v>
          </cell>
          <cell r="AF952" t="str">
            <v>M3178</v>
          </cell>
          <cell r="AG952" t="str">
            <v>Material para aterro reforçado com fitas metálicas</v>
          </cell>
          <cell r="AH952" t="str">
            <v>m³</v>
          </cell>
          <cell r="AI952">
            <v>0</v>
          </cell>
        </row>
        <row r="953">
          <cell r="C953" t="str">
            <v>Quantidade</v>
          </cell>
          <cell r="D953" t="str">
            <v>Utilização</v>
          </cell>
          <cell r="F953" t="str">
            <v>Custo Horário</v>
          </cell>
          <cell r="I953" t="str">
            <v>Custo</v>
          </cell>
          <cell r="AF953" t="str">
            <v>M3179</v>
          </cell>
          <cell r="AG953" t="str">
            <v>Tubo PEAD para estais - D = 140 mm</v>
          </cell>
          <cell r="AH953" t="str">
            <v>m</v>
          </cell>
          <cell r="AI953">
            <v>230.78360000000001</v>
          </cell>
        </row>
        <row r="954">
          <cell r="D954" t="str">
            <v>Operativa</v>
          </cell>
          <cell r="E954" t="str">
            <v>Improdutiva</v>
          </cell>
          <cell r="F954" t="str">
            <v>Produtivo</v>
          </cell>
          <cell r="G954" t="str">
            <v>Improdutivo</v>
          </cell>
          <cell r="I954" t="str">
            <v>Horário Total</v>
          </cell>
          <cell r="AF954" t="str">
            <v>M3180</v>
          </cell>
          <cell r="AG954" t="str">
            <v>Tubo PEAD para estais - D = 160 mm</v>
          </cell>
          <cell r="AH954" t="str">
            <v>m</v>
          </cell>
          <cell r="AI954">
            <v>307.72120000000001</v>
          </cell>
        </row>
        <row r="955">
          <cell r="G955" t="str">
            <v>Custo horário total de equipamentos</v>
          </cell>
          <cell r="AF955" t="str">
            <v>M3181</v>
          </cell>
          <cell r="AG955" t="str">
            <v>Tubo PEAD para estais - D = 180 mm</v>
          </cell>
          <cell r="AH955" t="str">
            <v>m</v>
          </cell>
          <cell r="AI955">
            <v>398.72730000000001</v>
          </cell>
        </row>
        <row r="956">
          <cell r="C956" t="str">
            <v>Quantidade</v>
          </cell>
          <cell r="D956" t="str">
            <v>Unidade</v>
          </cell>
          <cell r="E956" t="str">
            <v>Custo Horário</v>
          </cell>
          <cell r="G956" t="str">
            <v>Custo Horário Total</v>
          </cell>
          <cell r="AF956" t="str">
            <v>M3182</v>
          </cell>
          <cell r="AG956" t="str">
            <v>Tubo PEAD para estais - D = 200 mm</v>
          </cell>
          <cell r="AH956" t="str">
            <v>m</v>
          </cell>
          <cell r="AI956">
            <v>459.58620000000002</v>
          </cell>
        </row>
        <row r="957">
          <cell r="C957">
            <v>10</v>
          </cell>
          <cell r="D957" t="str">
            <v>h</v>
          </cell>
          <cell r="F957">
            <v>19.378599999999999</v>
          </cell>
          <cell r="I957">
            <v>193.786</v>
          </cell>
          <cell r="AF957" t="str">
            <v>M3183</v>
          </cell>
          <cell r="AG957" t="str">
            <v>Tubo PEAD para estais - D = 225 mm</v>
          </cell>
          <cell r="AH957" t="str">
            <v>m</v>
          </cell>
          <cell r="AI957">
            <v>582.14739999999995</v>
          </cell>
        </row>
        <row r="958">
          <cell r="C958" t="str">
            <v>Custo horário total de mão de obra</v>
          </cell>
          <cell r="H958">
            <v>193.786</v>
          </cell>
          <cell r="AF958" t="str">
            <v>M3184</v>
          </cell>
          <cell r="AG958" t="str">
            <v>Tubo PEAD para estais - D = 250 mm</v>
          </cell>
          <cell r="AH958" t="str">
            <v>m</v>
          </cell>
          <cell r="AI958">
            <v>651.14319999999998</v>
          </cell>
        </row>
        <row r="959">
          <cell r="C959" t="str">
            <v>Custo horário total de execução</v>
          </cell>
          <cell r="I959">
            <v>193.786</v>
          </cell>
          <cell r="AF959" t="str">
            <v>M3185</v>
          </cell>
          <cell r="AG959" t="str">
            <v>Tubo PEAD para estais - D = 280 mm</v>
          </cell>
          <cell r="AH959" t="str">
            <v>m</v>
          </cell>
          <cell r="AI959">
            <v>758.43550000000005</v>
          </cell>
        </row>
        <row r="960">
          <cell r="C960" t="str">
            <v>Custo unitário de execução</v>
          </cell>
          <cell r="I960">
            <v>1614.8833333333334</v>
          </cell>
          <cell r="AF960" t="str">
            <v>M3186</v>
          </cell>
          <cell r="AG960" t="str">
            <v>Tubo PEAD para estais - D = 315 mm</v>
          </cell>
          <cell r="AH960" t="str">
            <v>m</v>
          </cell>
          <cell r="AI960">
            <v>881.28449999999998</v>
          </cell>
        </row>
        <row r="961">
          <cell r="G961" t="str">
            <v>Custo do FIC</v>
          </cell>
          <cell r="H961">
            <v>3.1379999999999998E-2</v>
          </cell>
          <cell r="I961">
            <v>50.675038999999998</v>
          </cell>
          <cell r="AF961" t="str">
            <v>M3187</v>
          </cell>
          <cell r="AG961" t="str">
            <v>Tubo antivandalismo para estais em aço galvanizado para 12 cordoalhas - D = 15,7 mm</v>
          </cell>
          <cell r="AH961" t="str">
            <v>m</v>
          </cell>
          <cell r="AI961">
            <v>4584.0442999999996</v>
          </cell>
        </row>
        <row r="962">
          <cell r="G962" t="str">
            <v>Custo do FIT</v>
          </cell>
          <cell r="I962" t="str">
            <v>-</v>
          </cell>
          <cell r="AF962" t="str">
            <v>M3188</v>
          </cell>
          <cell r="AG962" t="str">
            <v>Tubo antivandalismo para estais em aço galvanizado para 19 cordoalhas - D = 15,7 mm</v>
          </cell>
          <cell r="AH962" t="str">
            <v>m</v>
          </cell>
          <cell r="AI962">
            <v>5433.9018999999998</v>
          </cell>
        </row>
        <row r="963">
          <cell r="C963" t="str">
            <v>Quantidade</v>
          </cell>
          <cell r="D963" t="str">
            <v>Unidade</v>
          </cell>
          <cell r="E963" t="str">
            <v>Preço Unitário</v>
          </cell>
          <cell r="G963" t="str">
            <v>Custo Unitário</v>
          </cell>
          <cell r="AF963" t="str">
            <v>M3189</v>
          </cell>
          <cell r="AG963" t="str">
            <v>Tubo antivandalismo para estais em aço galvanizado para 22 cordoalhas - D = 15,7 mm</v>
          </cell>
          <cell r="AH963" t="str">
            <v>m</v>
          </cell>
          <cell r="AI963">
            <v>6352.1063999999997</v>
          </cell>
        </row>
        <row r="964">
          <cell r="C964" t="str">
            <v>Custo unitário total de material</v>
          </cell>
          <cell r="AF964" t="str">
            <v>M3190</v>
          </cell>
          <cell r="AG964" t="str">
            <v>Tubo antivandalismo para estais em aço galvanizado para 31 cordoalhas - D = 15,7 mm</v>
          </cell>
          <cell r="AH964" t="str">
            <v>m</v>
          </cell>
          <cell r="AI964">
            <v>7959.2620999999999</v>
          </cell>
        </row>
        <row r="965">
          <cell r="C965" t="str">
            <v>Quantidade</v>
          </cell>
          <cell r="D965" t="str">
            <v>Unidade</v>
          </cell>
          <cell r="E965" t="str">
            <v>Custo Unitário</v>
          </cell>
          <cell r="G965" t="str">
            <v>Custo Unitário</v>
          </cell>
          <cell r="AF965" t="str">
            <v>M3191</v>
          </cell>
          <cell r="AG965" t="str">
            <v>Tubo antivandalismo para estais em aço galvanizado para 37 cordoalhas - D = 15,7 mm</v>
          </cell>
          <cell r="AH965" t="str">
            <v>m</v>
          </cell>
          <cell r="AI965">
            <v>9184.0085999999992</v>
          </cell>
        </row>
        <row r="966">
          <cell r="C966" t="str">
            <v>Custo total de atividades auxiliares</v>
          </cell>
          <cell r="AF966" t="str">
            <v>M3192</v>
          </cell>
          <cell r="AG966" t="str">
            <v>Tubo antivandalismo para estais em aço galvanizado para 43 cordoalhas - D = 15,7 mm</v>
          </cell>
          <cell r="AH966" t="str">
            <v>m</v>
          </cell>
          <cell r="AI966">
            <v>12015.581399999999</v>
          </cell>
        </row>
        <row r="967">
          <cell r="G967" t="str">
            <v>Subtotal</v>
          </cell>
          <cell r="AF967" t="str">
            <v>M3193</v>
          </cell>
          <cell r="AG967" t="str">
            <v>Tubo antivandalismo para estais em aço galvanizado para 55 cordoalhas - D = 15,7 mm</v>
          </cell>
          <cell r="AH967" t="str">
            <v>m</v>
          </cell>
          <cell r="AI967">
            <v>13546.978999999999</v>
          </cell>
        </row>
        <row r="968">
          <cell r="C968" t="str">
            <v>Código</v>
          </cell>
          <cell r="D968" t="str">
            <v>Quantidade</v>
          </cell>
          <cell r="E968" t="str">
            <v>Unidade</v>
          </cell>
          <cell r="F968" t="str">
            <v>Custo Unitário</v>
          </cell>
          <cell r="H968" t="str">
            <v>Custo Unitário</v>
          </cell>
          <cell r="AF968" t="str">
            <v>M3194</v>
          </cell>
          <cell r="AG968" t="str">
            <v>Tubo antivandalismo para estais em aço galvanizado para 61 cordoalhas - D = 15,7 mm</v>
          </cell>
          <cell r="AH968" t="str">
            <v>m</v>
          </cell>
          <cell r="AI968">
            <v>15536.371800000001</v>
          </cell>
        </row>
        <row r="969">
          <cell r="C969" t="str">
            <v>Custo unitário total de tempo fixo</v>
          </cell>
          <cell r="AF969" t="str">
            <v>M3195</v>
          </cell>
          <cell r="AG969" t="str">
            <v>Tubo antivandalismo para estais em aço galvanizado para 73 cordoalhas - D = 15,7 mm</v>
          </cell>
          <cell r="AH969" t="str">
            <v>m</v>
          </cell>
          <cell r="AI969">
            <v>19714.9028</v>
          </cell>
        </row>
        <row r="970">
          <cell r="C970" t="str">
            <v>Quantidade</v>
          </cell>
          <cell r="D970" t="str">
            <v>Unidade</v>
          </cell>
          <cell r="E970" t="str">
            <v>DMT</v>
          </cell>
          <cell r="I970" t="str">
            <v>Custo Unitário</v>
          </cell>
          <cell r="AF970" t="str">
            <v>M3196</v>
          </cell>
          <cell r="AG970" t="str">
            <v>Tubo antivandalismo para estais em aço galvanizado para 85 cordoalhas - D = 15,7 mm</v>
          </cell>
          <cell r="AH970" t="str">
            <v>m</v>
          </cell>
          <cell r="AI970">
            <v>22959.141</v>
          </cell>
        </row>
        <row r="971">
          <cell r="E971" t="str">
            <v>LN</v>
          </cell>
          <cell r="F971" t="str">
            <v>RP</v>
          </cell>
          <cell r="G971" t="str">
            <v>P</v>
          </cell>
          <cell r="AF971" t="str">
            <v>M3197</v>
          </cell>
          <cell r="AG971" t="str">
            <v>Tubo antivandalismo para estais em aço galvanizado para 91 cordoalhas - D = 15,7 mm</v>
          </cell>
          <cell r="AH971" t="str">
            <v>m</v>
          </cell>
          <cell r="AI971">
            <v>30443.4139</v>
          </cell>
        </row>
        <row r="972">
          <cell r="C972" t="str">
            <v>Custo unitário total de transporte</v>
          </cell>
          <cell r="I972" t="str">
            <v>-</v>
          </cell>
          <cell r="AF972" t="str">
            <v>M3198</v>
          </cell>
          <cell r="AG972" t="str">
            <v>Tubo forma lado fixo para estais em aço galvanizado para 12 cordoalhas - D = 15,7 mm</v>
          </cell>
          <cell r="AH972" t="str">
            <v>m</v>
          </cell>
          <cell r="AI972">
            <v>4287.3798999999999</v>
          </cell>
        </row>
        <row r="973">
          <cell r="C973">
            <v>4915740</v>
          </cell>
          <cell r="D973" t="str">
            <v>ha</v>
          </cell>
          <cell r="E973" t="str">
            <v>Custo unitário direto total</v>
          </cell>
          <cell r="I973">
            <v>1665.5583723333334</v>
          </cell>
          <cell r="AF973" t="str">
            <v>M3199</v>
          </cell>
          <cell r="AG973" t="str">
            <v>Tubo forma lado fixo para estais em aço galvanizado para 19 cordoalhas - D = 15,7 mm</v>
          </cell>
          <cell r="AH973" t="str">
            <v>m</v>
          </cell>
          <cell r="AI973">
            <v>5053.7983000000004</v>
          </cell>
        </row>
        <row r="974">
          <cell r="AF974" t="str">
            <v>M3200</v>
          </cell>
          <cell r="AG974" t="str">
            <v>Tubo forma lado fixo para estais em aço galvanizado para 22 cordoalhas - D = 15,7 mm</v>
          </cell>
          <cell r="AH974" t="str">
            <v>m</v>
          </cell>
          <cell r="AI974">
            <v>6202.3407999999999</v>
          </cell>
        </row>
        <row r="975">
          <cell r="AF975" t="str">
            <v>M3201</v>
          </cell>
          <cell r="AG975" t="str">
            <v>Tubo forma lado fixo para estais em aço galvanizado para 31 cordoalhas - D = 15,7 mm</v>
          </cell>
          <cell r="AH975" t="str">
            <v>m</v>
          </cell>
          <cell r="AI975">
            <v>7657.2195000000002</v>
          </cell>
        </row>
        <row r="976">
          <cell r="I976" t="str">
            <v>DNIT</v>
          </cell>
          <cell r="AF976" t="str">
            <v>M3202</v>
          </cell>
          <cell r="AG976" t="str">
            <v>Tubo forma lado fixo para estais em aço galvanizado para 37 cordoalhas - D = 15,7 mm</v>
          </cell>
          <cell r="AH976" t="str">
            <v>m</v>
          </cell>
          <cell r="AI976">
            <v>8959.4987999999994</v>
          </cell>
        </row>
        <row r="977">
          <cell r="AF977" t="str">
            <v>M3203</v>
          </cell>
          <cell r="AG977" t="str">
            <v>Tubo forma lado fixo para estais em aço galvanizado para 43 cordoalhas - D = 15,7 mm</v>
          </cell>
          <cell r="AH977" t="str">
            <v>m</v>
          </cell>
          <cell r="AI977">
            <v>11792.843500000001</v>
          </cell>
        </row>
        <row r="978">
          <cell r="D978" t="str">
            <v>Outubro/2019</v>
          </cell>
          <cell r="G978" t="str">
            <v>Produção da equipe</v>
          </cell>
          <cell r="H978">
            <v>0.44</v>
          </cell>
          <cell r="I978" t="str">
            <v>ha</v>
          </cell>
          <cell r="AF978" t="str">
            <v>M3204</v>
          </cell>
          <cell r="AG978" t="str">
            <v>Tubo forma lado fixo para estais em aço galvanizado para 55 cordoalhas - D = 15,7 mm</v>
          </cell>
          <cell r="AH978" t="str">
            <v>m</v>
          </cell>
          <cell r="AI978">
            <v>13171.478800000001</v>
          </cell>
        </row>
        <row r="979">
          <cell r="H979" t="str">
            <v>Valores em reais (R$)</v>
          </cell>
          <cell r="AF979" t="str">
            <v>M3205</v>
          </cell>
          <cell r="AG979" t="str">
            <v>Tubo forma lado fixo para estais em aço galvanizado para 61 cordoalhas - D = 15,7 mm</v>
          </cell>
          <cell r="AH979" t="str">
            <v>m</v>
          </cell>
          <cell r="AI979">
            <v>15237.3786</v>
          </cell>
        </row>
        <row r="980">
          <cell r="C980" t="str">
            <v>Quantidade</v>
          </cell>
          <cell r="D980" t="str">
            <v>Utilização</v>
          </cell>
          <cell r="F980" t="str">
            <v>Custo Horário</v>
          </cell>
          <cell r="I980" t="str">
            <v>Custo</v>
          </cell>
          <cell r="AF980" t="str">
            <v>M3206</v>
          </cell>
          <cell r="AG980" t="str">
            <v>Tubo forma lado fixo para estais em aço galvanizado para 73 cordoalhas - D = 15,7 mm</v>
          </cell>
          <cell r="AH980" t="str">
            <v>m</v>
          </cell>
          <cell r="AI980">
            <v>19373.536</v>
          </cell>
        </row>
        <row r="981">
          <cell r="D981" t="str">
            <v>Operativa</v>
          </cell>
          <cell r="E981" t="str">
            <v>Improdutiva</v>
          </cell>
          <cell r="F981" t="str">
            <v>Produtivo</v>
          </cell>
          <cell r="G981" t="str">
            <v>Improdutivo</v>
          </cell>
          <cell r="I981" t="str">
            <v>Horário Total</v>
          </cell>
          <cell r="AF981" t="str">
            <v>M3207</v>
          </cell>
          <cell r="AG981" t="str">
            <v>Tubo forma lado fixo para estais em aço galvanizado para 85 cordoalhas - D = 15,7 mm</v>
          </cell>
          <cell r="AH981" t="str">
            <v>m</v>
          </cell>
          <cell r="AI981">
            <v>22663.286100000001</v>
          </cell>
        </row>
        <row r="982">
          <cell r="C982">
            <v>1</v>
          </cell>
          <cell r="D982">
            <v>1</v>
          </cell>
          <cell r="E982">
            <v>0</v>
          </cell>
          <cell r="F982">
            <v>122.4743</v>
          </cell>
          <cell r="G982">
            <v>34.0411</v>
          </cell>
          <cell r="I982">
            <v>122.4743</v>
          </cell>
          <cell r="AF982" t="str">
            <v>M3208</v>
          </cell>
          <cell r="AG982" t="str">
            <v>Tubo forma lado fixo para estais em aço galvanizado para 91 cordoalhas - D = 15,7 mm</v>
          </cell>
          <cell r="AH982" t="str">
            <v>m</v>
          </cell>
          <cell r="AI982">
            <v>30016.731899999999</v>
          </cell>
        </row>
        <row r="983">
          <cell r="G983" t="str">
            <v>Custo horário total de equipamentos</v>
          </cell>
          <cell r="I983">
            <v>122.4743</v>
          </cell>
          <cell r="AF983" t="str">
            <v>M3209</v>
          </cell>
          <cell r="AG983" t="str">
            <v>Tubo forma lado regulável para estais em aço galvanizado para 12 cordoalhas - D = 15,7 mm</v>
          </cell>
          <cell r="AH983" t="str">
            <v>m</v>
          </cell>
          <cell r="AI983">
            <v>4285.6472000000003</v>
          </cell>
        </row>
        <row r="984">
          <cell r="C984" t="str">
            <v>Quantidade</v>
          </cell>
          <cell r="D984" t="str">
            <v>Unidade</v>
          </cell>
          <cell r="E984" t="str">
            <v>Custo Horário</v>
          </cell>
          <cell r="G984" t="str">
            <v>Custo Horário Total</v>
          </cell>
          <cell r="AF984" t="str">
            <v>M3210</v>
          </cell>
          <cell r="AG984" t="str">
            <v>Tubo forma lado regulável para estais em aço galvanizado para 19 cordoalhas - D = 15,7 mm</v>
          </cell>
          <cell r="AH984" t="str">
            <v>m</v>
          </cell>
          <cell r="AI984">
            <v>5053.7983000000004</v>
          </cell>
        </row>
        <row r="985">
          <cell r="C985">
            <v>2</v>
          </cell>
          <cell r="D985" t="str">
            <v>h</v>
          </cell>
          <cell r="F985">
            <v>19.378599999999999</v>
          </cell>
          <cell r="I985">
            <v>38.757199999999997</v>
          </cell>
          <cell r="AF985" t="str">
            <v>M3211</v>
          </cell>
          <cell r="AG985" t="str">
            <v>Tubo forma lado regulável para estais em aço galvanizado para 22 cordoalhas - D = 15,7 mm</v>
          </cell>
          <cell r="AH985" t="str">
            <v>m</v>
          </cell>
          <cell r="AI985">
            <v>6202.3407999999999</v>
          </cell>
        </row>
        <row r="986">
          <cell r="C986" t="str">
            <v>Custo horário total de mão de obra</v>
          </cell>
          <cell r="H986">
            <v>38.757199999999997</v>
          </cell>
          <cell r="AF986" t="str">
            <v>M3212</v>
          </cell>
          <cell r="AG986" t="str">
            <v>Tubo forma lado regulável para estais em aço galvanizado para 31 cordoalhas - D = 15,7 mm</v>
          </cell>
          <cell r="AH986" t="str">
            <v>m</v>
          </cell>
          <cell r="AI986">
            <v>7657.2195000000002</v>
          </cell>
        </row>
        <row r="987">
          <cell r="C987" t="str">
            <v>Custo horário total de execução</v>
          </cell>
          <cell r="I987">
            <v>161.23149999999998</v>
          </cell>
          <cell r="AF987" t="str">
            <v>M3213</v>
          </cell>
          <cell r="AG987" t="str">
            <v>Tubo forma lado regulável para estais em aço galvanizado para 37 cordoalhas - D = 15,7 mm</v>
          </cell>
          <cell r="AH987" t="str">
            <v>m</v>
          </cell>
          <cell r="AI987">
            <v>8959.4987999999994</v>
          </cell>
        </row>
        <row r="988">
          <cell r="C988" t="str">
            <v>Custo unitário de execução</v>
          </cell>
          <cell r="I988">
            <v>366.43522727272722</v>
          </cell>
          <cell r="AF988" t="str">
            <v>M3214</v>
          </cell>
          <cell r="AG988" t="str">
            <v>Tubo forma lado regulável para estais em aço galvanizado para 43 cordoalhas - D = 15,7 mm</v>
          </cell>
          <cell r="AH988" t="str">
            <v>m</v>
          </cell>
          <cell r="AI988">
            <v>11792.843500000001</v>
          </cell>
        </row>
        <row r="989">
          <cell r="G989" t="str">
            <v>Custo do FIC</v>
          </cell>
          <cell r="H989">
            <v>3.1379999999999998E-2</v>
          </cell>
          <cell r="I989">
            <v>11.49873743181818</v>
          </cell>
          <cell r="AF989" t="str">
            <v>M3215</v>
          </cell>
          <cell r="AG989" t="str">
            <v>Tubo forma lado regulável para estais em aço galvanizado para 55 cordoalhas - D = 15,7 mm</v>
          </cell>
          <cell r="AH989" t="str">
            <v>m</v>
          </cell>
          <cell r="AI989">
            <v>13171.478800000001</v>
          </cell>
        </row>
        <row r="990">
          <cell r="G990" t="str">
            <v>Custo do FIT</v>
          </cell>
          <cell r="I990" t="str">
            <v>-</v>
          </cell>
          <cell r="AF990" t="str">
            <v>M3216</v>
          </cell>
          <cell r="AG990" t="str">
            <v>Tubo forma lado regulável para estais em aço galvanizado para 61 cordoalhas - D = 15,7 mm</v>
          </cell>
          <cell r="AH990" t="str">
            <v>m</v>
          </cell>
          <cell r="AI990">
            <v>15237.3786</v>
          </cell>
        </row>
        <row r="991">
          <cell r="C991" t="str">
            <v>Quantidade</v>
          </cell>
          <cell r="D991" t="str">
            <v>Unidade</v>
          </cell>
          <cell r="E991" t="str">
            <v>Preço Unitário</v>
          </cell>
          <cell r="G991" t="str">
            <v>Custo Unitário</v>
          </cell>
          <cell r="AF991" t="str">
            <v>M3217</v>
          </cell>
          <cell r="AG991" t="str">
            <v>Tubo forma lado regulável para estais em aço galvanizado para 73 cordoalhas - D = 15,7 mm</v>
          </cell>
          <cell r="AH991" t="str">
            <v>m</v>
          </cell>
          <cell r="AI991">
            <v>19373.536</v>
          </cell>
        </row>
        <row r="992">
          <cell r="C992" t="str">
            <v>Custo unitário total de material</v>
          </cell>
          <cell r="AF992" t="str">
            <v>M3218</v>
          </cell>
          <cell r="AG992" t="str">
            <v>Tubo forma lado regulável para estais em aço galvanizado para 85 cordoalhas - D = 15,7 mm</v>
          </cell>
          <cell r="AH992" t="str">
            <v>m</v>
          </cell>
          <cell r="AI992">
            <v>22663.6885</v>
          </cell>
        </row>
        <row r="993">
          <cell r="C993" t="str">
            <v>Quantidade</v>
          </cell>
          <cell r="D993" t="str">
            <v>Unidade</v>
          </cell>
          <cell r="E993" t="str">
            <v>Custo Unitário</v>
          </cell>
          <cell r="G993" t="str">
            <v>Custo Unitário</v>
          </cell>
          <cell r="AF993" t="str">
            <v>M3219</v>
          </cell>
          <cell r="AG993" t="str">
            <v>Tubo forma lado regulável para estais em aço galvanizado para 91 cordoalhas - D = 15,7 mm</v>
          </cell>
          <cell r="AH993" t="str">
            <v>m</v>
          </cell>
          <cell r="AI993">
            <v>30016.731899999999</v>
          </cell>
        </row>
        <row r="994">
          <cell r="C994" t="str">
            <v>Custo total de atividades auxiliares</v>
          </cell>
          <cell r="AF994" t="str">
            <v>M3220</v>
          </cell>
          <cell r="AG994" t="str">
            <v>Ring bit - D = 104 mm</v>
          </cell>
          <cell r="AH994" t="str">
            <v>un</v>
          </cell>
          <cell r="AI994">
            <v>1102.9935</v>
          </cell>
        </row>
        <row r="995">
          <cell r="G995" t="str">
            <v>Subtotal</v>
          </cell>
          <cell r="AF995" t="str">
            <v>M3221</v>
          </cell>
          <cell r="AG995" t="str">
            <v>Bit de botão com rosca T38 - D = 64 mm</v>
          </cell>
          <cell r="AH995" t="str">
            <v>un</v>
          </cell>
          <cell r="AI995">
            <v>530.86199999999997</v>
          </cell>
        </row>
        <row r="996">
          <cell r="C996" t="str">
            <v>Código</v>
          </cell>
          <cell r="D996" t="str">
            <v>Quantidade</v>
          </cell>
          <cell r="E996" t="str">
            <v>Unidade</v>
          </cell>
          <cell r="F996" t="str">
            <v>Custo Unitário</v>
          </cell>
          <cell r="H996" t="str">
            <v>Custo Unitário</v>
          </cell>
          <cell r="AF996" t="str">
            <v>M3227</v>
          </cell>
          <cell r="AG996" t="str">
            <v>Revestimento - D = 104 mm</v>
          </cell>
          <cell r="AH996" t="str">
            <v>m</v>
          </cell>
          <cell r="AI996">
            <v>103.10720000000001</v>
          </cell>
        </row>
        <row r="997">
          <cell r="C997" t="str">
            <v>Custo unitário total de tempo fixo</v>
          </cell>
          <cell r="AF997" t="str">
            <v>M3228</v>
          </cell>
          <cell r="AG997" t="str">
            <v>Cimento asfáltico CAP 50/70 com 15% de asfalto borracha</v>
          </cell>
          <cell r="AH997" t="str">
            <v>t</v>
          </cell>
          <cell r="AI997">
            <v>0</v>
          </cell>
        </row>
        <row r="998">
          <cell r="C998" t="str">
            <v>Quantidade</v>
          </cell>
          <cell r="D998" t="str">
            <v>Unidade</v>
          </cell>
          <cell r="E998" t="str">
            <v>DMT</v>
          </cell>
          <cell r="I998" t="str">
            <v>Custo Unitário</v>
          </cell>
          <cell r="AF998" t="str">
            <v>M3229</v>
          </cell>
          <cell r="AG998" t="str">
            <v>Película retrorrefletiva tipo I + SI</v>
          </cell>
          <cell r="AH998" t="str">
            <v>m²</v>
          </cell>
          <cell r="AI998">
            <v>291.07870000000003</v>
          </cell>
        </row>
        <row r="999">
          <cell r="E999" t="str">
            <v>LN</v>
          </cell>
          <cell r="F999" t="str">
            <v>RP</v>
          </cell>
          <cell r="G999" t="str">
            <v>P</v>
          </cell>
          <cell r="AF999" t="str">
            <v>M3230</v>
          </cell>
          <cell r="AG999" t="str">
            <v>Chapa de poliéster reforçada com fibra de vidro de 2 mm</v>
          </cell>
          <cell r="AH999" t="str">
            <v>m²</v>
          </cell>
          <cell r="AI999">
            <v>63.036999999999999</v>
          </cell>
        </row>
        <row r="1000">
          <cell r="C1000" t="str">
            <v>Custo unitário total de transporte</v>
          </cell>
          <cell r="I1000" t="str">
            <v>-</v>
          </cell>
          <cell r="AF1000" t="str">
            <v>M3231</v>
          </cell>
          <cell r="AG1000" t="str">
            <v>Chapa de alumínio composto (ACM) - E = 3 mm</v>
          </cell>
          <cell r="AH1000" t="str">
            <v>m²</v>
          </cell>
          <cell r="AI1000">
            <v>71.522300000000001</v>
          </cell>
        </row>
        <row r="1001">
          <cell r="C1001">
            <v>4915742</v>
          </cell>
          <cell r="D1001" t="str">
            <v>ha</v>
          </cell>
          <cell r="E1001" t="str">
            <v>Custo unitário direto total</v>
          </cell>
          <cell r="I1001">
            <v>377.93396470454542</v>
          </cell>
          <cell r="AF1001" t="str">
            <v>M3233</v>
          </cell>
          <cell r="AG1001" t="str">
            <v>Fita adesiva estrutural dupla-face de 25 x 2 mm</v>
          </cell>
          <cell r="AH1001" t="str">
            <v>m</v>
          </cell>
          <cell r="AI1001">
            <v>12.026</v>
          </cell>
        </row>
        <row r="1002">
          <cell r="AF1002" t="str">
            <v>M3234</v>
          </cell>
          <cell r="AG1002" t="str">
            <v>Cantoneira em aço de abas iguais de 1 1/4" x 1/8"</v>
          </cell>
          <cell r="AH1002" t="str">
            <v>m</v>
          </cell>
          <cell r="AI1002">
            <v>7.6553000000000004</v>
          </cell>
        </row>
        <row r="1003">
          <cell r="AF1003" t="str">
            <v>M3235</v>
          </cell>
          <cell r="AG1003" t="str">
            <v>Película retrorrefletiva tipo I</v>
          </cell>
          <cell r="AH1003" t="str">
            <v>m²</v>
          </cell>
          <cell r="AI1003">
            <v>99.745400000000004</v>
          </cell>
        </row>
        <row r="1004">
          <cell r="I1004" t="str">
            <v>DNIT</v>
          </cell>
          <cell r="AF1004" t="str">
            <v>M3236</v>
          </cell>
          <cell r="AG1004" t="str">
            <v>Película retrorrefletiva Tipo III + SI</v>
          </cell>
          <cell r="AH1004" t="str">
            <v>m²</v>
          </cell>
          <cell r="AI1004">
            <v>303.24329999999998</v>
          </cell>
        </row>
        <row r="1005">
          <cell r="AF1005" t="str">
            <v>M3237</v>
          </cell>
          <cell r="AG1005" t="str">
            <v>Película retrorrefletiva Tipo III</v>
          </cell>
          <cell r="AH1005" t="str">
            <v>m²</v>
          </cell>
          <cell r="AI1005">
            <v>135.95480000000001</v>
          </cell>
        </row>
        <row r="1006">
          <cell r="D1006" t="str">
            <v>Outubro/2019</v>
          </cell>
          <cell r="G1006" t="str">
            <v>Produção da equipe</v>
          </cell>
          <cell r="H1006">
            <v>300</v>
          </cell>
          <cell r="I1006" t="str">
            <v>m²</v>
          </cell>
          <cell r="AF1006" t="str">
            <v>M3238</v>
          </cell>
          <cell r="AG1006" t="str">
            <v>Película não retrorrefletiva tipo IV</v>
          </cell>
          <cell r="AH1006" t="str">
            <v>m²</v>
          </cell>
          <cell r="AI1006">
            <v>72.352500000000006</v>
          </cell>
        </row>
        <row r="1007">
          <cell r="H1007" t="str">
            <v>Valores em reais (R$)</v>
          </cell>
          <cell r="AF1007" t="str">
            <v>M3239</v>
          </cell>
          <cell r="AG1007" t="str">
            <v>Película retrorrefletiva tipo X</v>
          </cell>
          <cell r="AH1007" t="str">
            <v>m²</v>
          </cell>
          <cell r="AI1007">
            <v>311.31889999999999</v>
          </cell>
        </row>
        <row r="1008">
          <cell r="C1008" t="str">
            <v>Quantidade</v>
          </cell>
          <cell r="D1008" t="str">
            <v>Utilização</v>
          </cell>
          <cell r="F1008" t="str">
            <v>Custo Horário</v>
          </cell>
          <cell r="I1008" t="str">
            <v>Custo</v>
          </cell>
          <cell r="AF1008" t="str">
            <v>M3240</v>
          </cell>
          <cell r="AG1008" t="str">
            <v>Duto flexível sem isolamento de poliéster aluminizado - D = 200 mm</v>
          </cell>
          <cell r="AH1008" t="str">
            <v>m</v>
          </cell>
          <cell r="AI1008">
            <v>9.3572000000000006</v>
          </cell>
        </row>
        <row r="1009">
          <cell r="D1009" t="str">
            <v>Operativa</v>
          </cell>
          <cell r="E1009" t="str">
            <v>Improdutiva</v>
          </cell>
          <cell r="F1009" t="str">
            <v>Produtivo</v>
          </cell>
          <cell r="G1009" t="str">
            <v>Improdutivo</v>
          </cell>
          <cell r="I1009" t="str">
            <v>Horário Total</v>
          </cell>
          <cell r="AF1009" t="str">
            <v>M3241</v>
          </cell>
          <cell r="AG1009" t="str">
            <v>Cabo antichama flexível de 2 x 6 mm²</v>
          </cell>
          <cell r="AH1009" t="str">
            <v>m</v>
          </cell>
          <cell r="AI1009">
            <v>6.8978999999999999</v>
          </cell>
        </row>
        <row r="1010">
          <cell r="G1010" t="str">
            <v>Custo horário total de equipamentos</v>
          </cell>
          <cell r="AF1010" t="str">
            <v>M3242</v>
          </cell>
          <cell r="AG1010" t="str">
            <v>Cabo antichama flexível de 4 x 6 mm²</v>
          </cell>
          <cell r="AH1010" t="str">
            <v>m</v>
          </cell>
          <cell r="AI1010">
            <v>12.2417</v>
          </cell>
        </row>
        <row r="1011">
          <cell r="C1011" t="str">
            <v>Quantidade</v>
          </cell>
          <cell r="D1011" t="str">
            <v>Unidade</v>
          </cell>
          <cell r="E1011" t="str">
            <v>Custo Horário</v>
          </cell>
          <cell r="G1011" t="str">
            <v>Custo Horário Total</v>
          </cell>
          <cell r="AF1011" t="str">
            <v>M3244</v>
          </cell>
          <cell r="AG1011" t="str">
            <v>Plástico a frio plano por extrusão</v>
          </cell>
          <cell r="AH1011" t="str">
            <v>kg</v>
          </cell>
          <cell r="AI1011">
            <v>20.8704</v>
          </cell>
        </row>
        <row r="1012">
          <cell r="C1012">
            <v>10</v>
          </cell>
          <cell r="D1012" t="str">
            <v>h</v>
          </cell>
          <cell r="F1012">
            <v>19.378599999999999</v>
          </cell>
          <cell r="I1012">
            <v>193.786</v>
          </cell>
          <cell r="AF1012" t="str">
            <v>M3245</v>
          </cell>
          <cell r="AG1012" t="str">
            <v>Plástico a frio spray por aspersão</v>
          </cell>
          <cell r="AH1012" t="str">
            <v>kg</v>
          </cell>
          <cell r="AI1012">
            <v>26.197399999999998</v>
          </cell>
        </row>
        <row r="1013">
          <cell r="C1013" t="str">
            <v>Custo horário total de mão de obra</v>
          </cell>
          <cell r="H1013">
            <v>193.786</v>
          </cell>
          <cell r="AF1013" t="str">
            <v>M3270</v>
          </cell>
          <cell r="AG1013" t="str">
            <v>Ancoragem fixa para estais TSR para 12 cordoalhas - D = 15,7 mm</v>
          </cell>
          <cell r="AH1013" t="str">
            <v>un</v>
          </cell>
          <cell r="AI1013">
            <v>29764.517899999999</v>
          </cell>
        </row>
        <row r="1014">
          <cell r="C1014" t="str">
            <v>Custo horário total de execução</v>
          </cell>
          <cell r="I1014">
            <v>193.786</v>
          </cell>
          <cell r="AF1014" t="str">
            <v>M3271</v>
          </cell>
          <cell r="AG1014" t="str">
            <v>Ancoragem fixa para estais TSR para 22 cordoalhas - D = 15,7 mm</v>
          </cell>
          <cell r="AH1014" t="str">
            <v>un</v>
          </cell>
          <cell r="AI1014">
            <v>44881.357000000004</v>
          </cell>
        </row>
        <row r="1015">
          <cell r="C1015" t="str">
            <v>Custo unitário de execução</v>
          </cell>
          <cell r="I1015">
            <v>0.64595333333333338</v>
          </cell>
          <cell r="AF1015" t="str">
            <v>M3272</v>
          </cell>
          <cell r="AG1015" t="str">
            <v>Ancoragem fixa para estais TSR para 43 cordoalhas - D = 15,7 mm</v>
          </cell>
          <cell r="AH1015" t="str">
            <v>un</v>
          </cell>
          <cell r="AI1015">
            <v>94274.677599999995</v>
          </cell>
        </row>
        <row r="1016">
          <cell r="G1016" t="str">
            <v>Custo do FIC</v>
          </cell>
          <cell r="H1016">
            <v>3.1379999999999998E-2</v>
          </cell>
          <cell r="I1016">
            <v>2.02700156E-2</v>
          </cell>
          <cell r="AF1016" t="str">
            <v>M3273</v>
          </cell>
          <cell r="AG1016" t="str">
            <v>Ancoragem fixa para estais TSR para 85 cordoalhas - D = 15,7 mm</v>
          </cell>
          <cell r="AH1016" t="str">
            <v>un</v>
          </cell>
          <cell r="AI1016">
            <v>186378.24479999999</v>
          </cell>
        </row>
        <row r="1017">
          <cell r="G1017" t="str">
            <v>Custo do FIT</v>
          </cell>
          <cell r="I1017" t="str">
            <v>-</v>
          </cell>
          <cell r="AF1017" t="str">
            <v>M3274</v>
          </cell>
          <cell r="AG1017" t="str">
            <v>Ancoragem regulável para estais TSR para 12 cordoalhas - D = 15,7 mm</v>
          </cell>
          <cell r="AH1017" t="str">
            <v>un</v>
          </cell>
          <cell r="AI1017">
            <v>30578.307400000002</v>
          </cell>
        </row>
        <row r="1018">
          <cell r="C1018" t="str">
            <v>Quantidade</v>
          </cell>
          <cell r="D1018" t="str">
            <v>Unidade</v>
          </cell>
          <cell r="E1018" t="str">
            <v>Preço Unitário</v>
          </cell>
          <cell r="G1018" t="str">
            <v>Custo Unitário</v>
          </cell>
          <cell r="AF1018" t="str">
            <v>M3275</v>
          </cell>
          <cell r="AG1018" t="str">
            <v>Ancoragem regulável para estais TSR para 22 cordoalhas - D = 15,7 mm</v>
          </cell>
          <cell r="AH1018" t="str">
            <v>un</v>
          </cell>
          <cell r="AI1018">
            <v>56060.9519</v>
          </cell>
        </row>
        <row r="1019">
          <cell r="C1019" t="str">
            <v>Custo unitário total de material</v>
          </cell>
          <cell r="AF1019" t="str">
            <v>M3276</v>
          </cell>
          <cell r="AG1019" t="str">
            <v>Ancoragem regulável para estais TSR para 43 cordoalhas - D = 15,7 mm</v>
          </cell>
          <cell r="AH1019" t="str">
            <v>un</v>
          </cell>
          <cell r="AI1019">
            <v>109574.63589999999</v>
          </cell>
        </row>
        <row r="1020">
          <cell r="C1020" t="str">
            <v>Quantidade</v>
          </cell>
          <cell r="D1020" t="str">
            <v>Unidade</v>
          </cell>
          <cell r="E1020" t="str">
            <v>Custo Unitário</v>
          </cell>
          <cell r="G1020" t="str">
            <v>Custo Unitário</v>
          </cell>
          <cell r="AF1020" t="str">
            <v>M3277</v>
          </cell>
          <cell r="AG1020" t="str">
            <v>Ancoragem regulável para estais TSR para 85 cordoalhas - D = 15,7 mm</v>
          </cell>
          <cell r="AH1020" t="str">
            <v>un</v>
          </cell>
          <cell r="AI1020">
            <v>218113.6539</v>
          </cell>
        </row>
        <row r="1021">
          <cell r="C1021" t="str">
            <v>Custo total de atividades auxiliares</v>
          </cell>
          <cell r="AF1021" t="str">
            <v>M3278</v>
          </cell>
          <cell r="AG1021" t="str">
            <v>Tubo PEAD para estais - D = 110 mm</v>
          </cell>
          <cell r="AH1021" t="str">
            <v>m</v>
          </cell>
          <cell r="AI1021">
            <v>138.05240000000001</v>
          </cell>
        </row>
        <row r="1022">
          <cell r="G1022" t="str">
            <v>Subtotal</v>
          </cell>
          <cell r="AF1022" t="str">
            <v>M3279</v>
          </cell>
          <cell r="AG1022" t="str">
            <v>Arruela lisa 3/8"</v>
          </cell>
          <cell r="AH1022" t="str">
            <v>un</v>
          </cell>
          <cell r="AI1022">
            <v>0.12</v>
          </cell>
        </row>
        <row r="1023">
          <cell r="C1023" t="str">
            <v>Código</v>
          </cell>
          <cell r="D1023" t="str">
            <v>Quantidade</v>
          </cell>
          <cell r="E1023" t="str">
            <v>Unidade</v>
          </cell>
          <cell r="F1023" t="str">
            <v>Custo Unitário</v>
          </cell>
          <cell r="H1023" t="str">
            <v>Custo Unitário</v>
          </cell>
          <cell r="AF1023" t="str">
            <v>M3280</v>
          </cell>
          <cell r="AG1023" t="str">
            <v>Viga de madeira de 5 x 11 cm</v>
          </cell>
          <cell r="AH1023" t="str">
            <v>m</v>
          </cell>
          <cell r="AI1023">
            <v>9.7666000000000004</v>
          </cell>
        </row>
        <row r="1024">
          <cell r="C1024" t="str">
            <v>Custo unitário total de tempo fixo</v>
          </cell>
          <cell r="AF1024" t="str">
            <v>M3353</v>
          </cell>
          <cell r="AG1024" t="str">
            <v>Purgador plástico</v>
          </cell>
          <cell r="AH1024" t="str">
            <v>un</v>
          </cell>
          <cell r="AI1024">
            <v>1.0793999999999999</v>
          </cell>
        </row>
        <row r="1025">
          <cell r="C1025" t="str">
            <v>Quantidade</v>
          </cell>
          <cell r="D1025" t="str">
            <v>Unidade</v>
          </cell>
          <cell r="E1025" t="str">
            <v>DMT</v>
          </cell>
          <cell r="I1025" t="str">
            <v>Custo Unitário</v>
          </cell>
          <cell r="AF1025" t="str">
            <v>M3360</v>
          </cell>
          <cell r="AG1025" t="str">
            <v>Chumbador para concreto Tecbolt de 8 mm</v>
          </cell>
          <cell r="AH1025" t="str">
            <v>un</v>
          </cell>
          <cell r="AI1025">
            <v>1.1565000000000001</v>
          </cell>
        </row>
        <row r="1026">
          <cell r="E1026" t="str">
            <v>LN</v>
          </cell>
          <cell r="F1026" t="str">
            <v>RP</v>
          </cell>
          <cell r="G1026" t="str">
            <v>P</v>
          </cell>
          <cell r="AF1026" t="str">
            <v>M3361</v>
          </cell>
          <cell r="AG1026" t="str">
            <v>Corrente de elo soldado em aço SAE 1010/1020 espessura 1" - acabamento polido</v>
          </cell>
          <cell r="AH1026" t="str">
            <v>m</v>
          </cell>
          <cell r="AI1026">
            <v>256.61040000000003</v>
          </cell>
        </row>
        <row r="1027">
          <cell r="C1027" t="str">
            <v>Custo unitário total de transporte</v>
          </cell>
          <cell r="I1027" t="str">
            <v>-</v>
          </cell>
          <cell r="AF1027" t="str">
            <v>M3362</v>
          </cell>
          <cell r="AG1027" t="str">
            <v>Corrente de elo soldado em aço SAE 1010/1020 espessura 1/2" - acabamento polido</v>
          </cell>
          <cell r="AH1027" t="str">
            <v>m</v>
          </cell>
          <cell r="AI1027">
            <v>56.852600000000002</v>
          </cell>
        </row>
        <row r="1028">
          <cell r="C1028">
            <v>4915744</v>
          </cell>
          <cell r="D1028" t="str">
            <v>m²</v>
          </cell>
          <cell r="E1028" t="str">
            <v>Custo unitário direto total</v>
          </cell>
          <cell r="I1028">
            <v>0.66622334893333335</v>
          </cell>
          <cell r="AF1028" t="str">
            <v>M3363</v>
          </cell>
          <cell r="AG1028" t="str">
            <v>Corrente de elo soldado em aço SAE 1010/1020 espessura 3/4" - acabamento polido</v>
          </cell>
          <cell r="AH1028" t="str">
            <v>m</v>
          </cell>
          <cell r="AI1028">
            <v>158.95939999999999</v>
          </cell>
        </row>
        <row r="1029">
          <cell r="AF1029" t="str">
            <v>M3364</v>
          </cell>
          <cell r="AG1029" t="str">
            <v>Lanterna de sinalização náutica c/ acessórios de fixação - alcance 2 MN</v>
          </cell>
          <cell r="AH1029" t="str">
            <v>un</v>
          </cell>
          <cell r="AI1029">
            <v>4435.0433999999996</v>
          </cell>
        </row>
        <row r="1030">
          <cell r="AF1030" t="str">
            <v>M3365</v>
          </cell>
          <cell r="AG1030" t="str">
            <v>Lanterna de sinalização náutica c/ acessórios de fixação - alcance 3 MN</v>
          </cell>
          <cell r="AH1030" t="str">
            <v>un</v>
          </cell>
          <cell r="AI1030">
            <v>4730.7129999999997</v>
          </cell>
        </row>
        <row r="1031">
          <cell r="I1031" t="str">
            <v>DNIT</v>
          </cell>
          <cell r="AF1031" t="str">
            <v>M3366</v>
          </cell>
          <cell r="AG1031" t="str">
            <v>Lanterna de sinalização náutica c/ acessórios de fixação - alcance 4 MN</v>
          </cell>
          <cell r="AH1031" t="str">
            <v>un</v>
          </cell>
          <cell r="AI1031">
            <v>7769.1484</v>
          </cell>
        </row>
        <row r="1032">
          <cell r="AF1032" t="str">
            <v>M3367</v>
          </cell>
          <cell r="AG1032" t="str">
            <v>Lanterna de sinalização náutica c/ acessórios de fixação - alcance 5 MN</v>
          </cell>
          <cell r="AH1032" t="str">
            <v>un</v>
          </cell>
          <cell r="AI1032">
            <v>8287.0915999999997</v>
          </cell>
        </row>
        <row r="1033">
          <cell r="D1033" t="str">
            <v>Outubro/2019</v>
          </cell>
          <cell r="G1033" t="str">
            <v>Produção da equipe</v>
          </cell>
          <cell r="H1033">
            <v>25</v>
          </cell>
          <cell r="I1033" t="str">
            <v>m²</v>
          </cell>
          <cell r="AF1033" t="str">
            <v>M3368</v>
          </cell>
          <cell r="AG1033" t="str">
            <v>Lanterna de sinalização náutica c/ acessórios de fixação - alcance 8 MN</v>
          </cell>
          <cell r="AH1033" t="str">
            <v>un</v>
          </cell>
          <cell r="AI1033">
            <v>10019.969999999999</v>
          </cell>
        </row>
        <row r="1034">
          <cell r="H1034" t="str">
            <v>Valores em reais (R$)</v>
          </cell>
          <cell r="AF1034" t="str">
            <v>M3369</v>
          </cell>
          <cell r="AG1034" t="str">
            <v>Manilha âncora de 5/8" em aço forjado com porca e cupilha</v>
          </cell>
          <cell r="AH1034" t="str">
            <v>un</v>
          </cell>
          <cell r="AI1034">
            <v>25.837900000000001</v>
          </cell>
        </row>
        <row r="1035">
          <cell r="C1035" t="str">
            <v>Quantidade</v>
          </cell>
          <cell r="D1035" t="str">
            <v>Utilização</v>
          </cell>
          <cell r="F1035" t="str">
            <v>Custo Horário</v>
          </cell>
          <cell r="I1035" t="str">
            <v>Custo</v>
          </cell>
          <cell r="AF1035" t="str">
            <v>M3370</v>
          </cell>
          <cell r="AG1035" t="str">
            <v>Manilha reta de 1 1/2" em aço forjado com porca e cupilha</v>
          </cell>
          <cell r="AH1035" t="str">
            <v>un</v>
          </cell>
          <cell r="AI1035">
            <v>270.60539999999997</v>
          </cell>
        </row>
        <row r="1036">
          <cell r="D1036" t="str">
            <v>Operativa</v>
          </cell>
          <cell r="E1036" t="str">
            <v>Improdutiva</v>
          </cell>
          <cell r="F1036" t="str">
            <v>Produtivo</v>
          </cell>
          <cell r="G1036" t="str">
            <v>Improdutivo</v>
          </cell>
          <cell r="I1036" t="str">
            <v>Horário Total</v>
          </cell>
          <cell r="AF1036" t="str">
            <v>M3371</v>
          </cell>
          <cell r="AG1036" t="str">
            <v>Manilha reta de 1" em aço forjado com porca e cupilha</v>
          </cell>
          <cell r="AH1036" t="str">
            <v>un</v>
          </cell>
          <cell r="AI1036">
            <v>107.1297</v>
          </cell>
        </row>
        <row r="1037">
          <cell r="C1037">
            <v>1</v>
          </cell>
          <cell r="D1037">
            <v>0.17</v>
          </cell>
          <cell r="E1037">
            <v>0.83</v>
          </cell>
          <cell r="F1037">
            <v>150.82040000000001</v>
          </cell>
          <cell r="G1037">
            <v>45.980899999999998</v>
          </cell>
          <cell r="I1037">
            <v>63.803615000000008</v>
          </cell>
          <cell r="AF1037" t="str">
            <v>M3372</v>
          </cell>
          <cell r="AG1037" t="str">
            <v>Suporte polimérico ecológico maciço colapsível para placa de sinalização - seção quadrada de 10 cm</v>
          </cell>
          <cell r="AH1037" t="str">
            <v>m</v>
          </cell>
          <cell r="AI1037">
            <v>318.56240000000003</v>
          </cell>
        </row>
        <row r="1038">
          <cell r="G1038" t="str">
            <v>Custo horário total de equipamentos</v>
          </cell>
          <cell r="I1038">
            <v>63.803615000000008</v>
          </cell>
          <cell r="AF1038" t="str">
            <v>M3501</v>
          </cell>
          <cell r="AG1038" t="str">
            <v>Placa de ancoragem para tirante de 160 x 160 x 12,5 mm</v>
          </cell>
          <cell r="AH1038" t="str">
            <v>un</v>
          </cell>
          <cell r="AI1038">
            <v>27.754000000000001</v>
          </cell>
        </row>
        <row r="1039">
          <cell r="C1039" t="str">
            <v>Quantidade</v>
          </cell>
          <cell r="D1039" t="str">
            <v>Unidade</v>
          </cell>
          <cell r="E1039" t="str">
            <v>Custo Horário</v>
          </cell>
          <cell r="G1039" t="str">
            <v>Custo Horário Total</v>
          </cell>
          <cell r="AF1039" t="str">
            <v>M3502</v>
          </cell>
          <cell r="AG1039" t="str">
            <v>Mistura betuminosa</v>
          </cell>
          <cell r="AH1039" t="str">
            <v>m³</v>
          </cell>
          <cell r="AI1039">
            <v>565.66</v>
          </cell>
        </row>
        <row r="1040">
          <cell r="C1040">
            <v>8</v>
          </cell>
          <cell r="D1040" t="str">
            <v>h</v>
          </cell>
          <cell r="F1040">
            <v>19.378599999999999</v>
          </cell>
          <cell r="I1040">
            <v>155.02879999999999</v>
          </cell>
          <cell r="AF1040" t="str">
            <v>M3503</v>
          </cell>
          <cell r="AG1040" t="str">
            <v>Material de base</v>
          </cell>
          <cell r="AH1040" t="str">
            <v>m³</v>
          </cell>
          <cell r="AI1040">
            <v>0</v>
          </cell>
        </row>
        <row r="1041">
          <cell r="C1041" t="str">
            <v>Custo horário total de mão de obra</v>
          </cell>
          <cell r="H1041">
            <v>155.02879999999999</v>
          </cell>
          <cell r="AF1041" t="str">
            <v>M3504</v>
          </cell>
          <cell r="AG1041" t="str">
            <v>Concreto</v>
          </cell>
          <cell r="AH1041" t="str">
            <v>m³</v>
          </cell>
          <cell r="AI1041">
            <v>325</v>
          </cell>
        </row>
        <row r="1042">
          <cell r="C1042" t="str">
            <v>Custo horário total de execução</v>
          </cell>
          <cell r="I1042">
            <v>218.832415</v>
          </cell>
          <cell r="AF1042" t="str">
            <v>M3505</v>
          </cell>
          <cell r="AG1042" t="str">
            <v>Material demolido - concreto simples</v>
          </cell>
          <cell r="AH1042" t="str">
            <v>m³</v>
          </cell>
          <cell r="AI1042">
            <v>0</v>
          </cell>
        </row>
        <row r="1043">
          <cell r="C1043" t="str">
            <v>Custo unitário de execução</v>
          </cell>
          <cell r="I1043">
            <v>8.7532966000000005</v>
          </cell>
          <cell r="AF1043" t="str">
            <v>M3506</v>
          </cell>
          <cell r="AG1043" t="str">
            <v>Material demolido - madeira</v>
          </cell>
          <cell r="AH1043" t="str">
            <v>m³</v>
          </cell>
          <cell r="AI1043">
            <v>0</v>
          </cell>
        </row>
        <row r="1044">
          <cell r="G1044" t="str">
            <v>Custo do FIC</v>
          </cell>
          <cell r="I1044" t="str">
            <v>-</v>
          </cell>
          <cell r="AF1044" t="str">
            <v>M3507</v>
          </cell>
          <cell r="AG1044" t="str">
            <v>Material retirado da pista - revestimento asfáltico</v>
          </cell>
          <cell r="AH1044" t="str">
            <v>m³</v>
          </cell>
          <cell r="AI1044">
            <v>0</v>
          </cell>
        </row>
        <row r="1045">
          <cell r="G1045" t="str">
            <v>Custo do FIT</v>
          </cell>
          <cell r="I1045" t="str">
            <v>-</v>
          </cell>
          <cell r="AF1045" t="str">
            <v>M3508</v>
          </cell>
          <cell r="AG1045" t="str">
            <v>Material retirado da pista - camada granular (base)</v>
          </cell>
          <cell r="AH1045" t="str">
            <v>m³</v>
          </cell>
          <cell r="AI1045">
            <v>0</v>
          </cell>
        </row>
        <row r="1046">
          <cell r="C1046" t="str">
            <v>Quantidade</v>
          </cell>
          <cell r="D1046" t="str">
            <v>Unidade</v>
          </cell>
          <cell r="E1046" t="str">
            <v>Preço Unitário</v>
          </cell>
          <cell r="G1046" t="str">
            <v>Custo Unitário</v>
          </cell>
          <cell r="AF1046" t="str">
            <v>M3509</v>
          </cell>
          <cell r="AG1046" t="str">
            <v>Material retirado da pista - remendo profundo</v>
          </cell>
          <cell r="AH1046" t="str">
            <v>m³</v>
          </cell>
          <cell r="AI1046">
            <v>0</v>
          </cell>
        </row>
        <row r="1047">
          <cell r="C1047" t="str">
            <v>Custo unitário total de material</v>
          </cell>
          <cell r="AF1047" t="str">
            <v>M3510</v>
          </cell>
          <cell r="AG1047" t="str">
            <v>Material demolido - alvenaria</v>
          </cell>
          <cell r="AH1047" t="str">
            <v>m³</v>
          </cell>
          <cell r="AI1047">
            <v>0</v>
          </cell>
        </row>
        <row r="1048">
          <cell r="C1048" t="str">
            <v>Quantidade</v>
          </cell>
          <cell r="D1048" t="str">
            <v>Unidade</v>
          </cell>
          <cell r="E1048" t="str">
            <v>Custo Unitário</v>
          </cell>
          <cell r="G1048" t="str">
            <v>Custo Unitário</v>
          </cell>
          <cell r="AF1048" t="str">
            <v>M3511</v>
          </cell>
          <cell r="AG1048" t="str">
            <v>Acessórios e materiais metálicos</v>
          </cell>
          <cell r="AH1048" t="str">
            <v>t</v>
          </cell>
          <cell r="AI1048">
            <v>0</v>
          </cell>
        </row>
        <row r="1049">
          <cell r="C1049">
            <v>0.2</v>
          </cell>
          <cell r="D1049" t="str">
            <v>m²</v>
          </cell>
          <cell r="F1049">
            <v>2.4471311999999998</v>
          </cell>
          <cell r="I1049">
            <v>0.48942624000000001</v>
          </cell>
          <cell r="AF1049" t="str">
            <v>M3512</v>
          </cell>
          <cell r="AG1049" t="str">
            <v>Material demolido - concreto armado</v>
          </cell>
          <cell r="AH1049" t="str">
            <v>m³</v>
          </cell>
          <cell r="AI1049">
            <v>0</v>
          </cell>
        </row>
        <row r="1050">
          <cell r="C1050" t="str">
            <v>Custo total de atividades auxiliares</v>
          </cell>
          <cell r="I1050">
            <v>0.48942624000000001</v>
          </cell>
          <cell r="AF1050" t="str">
            <v>M3513</v>
          </cell>
          <cell r="AG1050" t="str">
            <v>Material de 3ª categoria, rocha ou matacão</v>
          </cell>
          <cell r="AH1050" t="str">
            <v>m³</v>
          </cell>
          <cell r="AI1050">
            <v>0</v>
          </cell>
        </row>
        <row r="1051">
          <cell r="G1051" t="str">
            <v>Subtotal</v>
          </cell>
          <cell r="AF1051" t="str">
            <v>M3514</v>
          </cell>
          <cell r="AG1051" t="str">
            <v>Solo</v>
          </cell>
          <cell r="AH1051" t="str">
            <v>m³</v>
          </cell>
          <cell r="AI1051">
            <v>3</v>
          </cell>
        </row>
        <row r="1052">
          <cell r="C1052" t="str">
            <v>Código</v>
          </cell>
          <cell r="D1052" t="str">
            <v>Quantidade</v>
          </cell>
          <cell r="E1052" t="str">
            <v>Unidade</v>
          </cell>
          <cell r="F1052" t="str">
            <v>Custo Unitário</v>
          </cell>
          <cell r="H1052" t="str">
            <v>Custo Unitário</v>
          </cell>
          <cell r="AF1052" t="str">
            <v>M3515</v>
          </cell>
          <cell r="AG1052" t="str">
            <v>Grãos, agregados e solos derramados na pista em rodovias</v>
          </cell>
          <cell r="AH1052" t="str">
            <v>t</v>
          </cell>
          <cell r="AI1052">
            <v>0</v>
          </cell>
        </row>
        <row r="1053">
          <cell r="C1053">
            <v>5914655</v>
          </cell>
          <cell r="D1053">
            <v>4.5999999999999999E-3</v>
          </cell>
          <cell r="E1053" t="str">
            <v>t</v>
          </cell>
          <cell r="G1053">
            <v>22.49</v>
          </cell>
          <cell r="I1053">
            <v>0.10345399999999999</v>
          </cell>
          <cell r="AF1053" t="str">
            <v>M3516</v>
          </cell>
          <cell r="AG1053" t="str">
            <v>Veículos de pequeno porte incendiados em rodovia</v>
          </cell>
          <cell r="AH1053" t="str">
            <v>t</v>
          </cell>
          <cell r="AI1053">
            <v>0</v>
          </cell>
        </row>
        <row r="1054">
          <cell r="C1054" t="str">
            <v>Custo unitário total de tempo fixo</v>
          </cell>
          <cell r="I1054">
            <v>0.10345399999999999</v>
          </cell>
          <cell r="AF1054" t="str">
            <v>M3720</v>
          </cell>
          <cell r="AG1054" t="str">
            <v>Material asfáltico removido</v>
          </cell>
          <cell r="AH1054" t="str">
            <v>t</v>
          </cell>
          <cell r="AI1054">
            <v>0</v>
          </cell>
        </row>
        <row r="1055">
          <cell r="C1055" t="str">
            <v>Quantidade</v>
          </cell>
          <cell r="D1055" t="str">
            <v>Unidade</v>
          </cell>
          <cell r="E1055" t="str">
            <v>DMT</v>
          </cell>
          <cell r="I1055" t="str">
            <v>Custo Unitário</v>
          </cell>
          <cell r="AF1055" t="str">
            <v>M3795</v>
          </cell>
          <cell r="AG1055" t="str">
            <v>Instalações do Estaleiro Padrão para beneficiamento de estruturas navais, inclusive mobiliário, equipamentos de informática e de segurança</v>
          </cell>
          <cell r="AH1055" t="str">
            <v>CMCC</v>
          </cell>
          <cell r="AI1055">
            <v>1284.44</v>
          </cell>
        </row>
        <row r="1056">
          <cell r="E1056" t="str">
            <v>LN</v>
          </cell>
          <cell r="F1056" t="str">
            <v>RP</v>
          </cell>
          <cell r="G1056" t="str">
            <v>P</v>
          </cell>
          <cell r="AF1056" t="str">
            <v>M3801</v>
          </cell>
          <cell r="AG1056" t="str">
            <v>Animais de grande porte mortos em rodovia</v>
          </cell>
          <cell r="AH1056" t="str">
            <v>t</v>
          </cell>
          <cell r="AI1056">
            <v>0</v>
          </cell>
        </row>
        <row r="1057">
          <cell r="C1057">
            <v>4.5999999999999999E-3</v>
          </cell>
          <cell r="D1057" t="str">
            <v>tkm</v>
          </cell>
          <cell r="E1057">
            <v>5914449</v>
          </cell>
          <cell r="F1057">
            <v>5914464</v>
          </cell>
          <cell r="G1057">
            <v>5914479</v>
          </cell>
          <cell r="AF1057" t="str">
            <v>M3802</v>
          </cell>
          <cell r="AG1057" t="str">
            <v>Animais de pequeno porte mortos em rodovia</v>
          </cell>
          <cell r="AH1057" t="str">
            <v>t</v>
          </cell>
          <cell r="AI1057">
            <v>0</v>
          </cell>
        </row>
        <row r="1058">
          <cell r="C1058" t="str">
            <v>Custo unitário total de transporte</v>
          </cell>
          <cell r="I1058" t="str">
            <v>-</v>
          </cell>
          <cell r="AF1058" t="str">
            <v>M3803</v>
          </cell>
          <cell r="AG1058" t="str">
            <v>Emborrachados de pneus espalhados em rodovia</v>
          </cell>
          <cell r="AH1058" t="str">
            <v>t</v>
          </cell>
          <cell r="AI1058">
            <v>0</v>
          </cell>
        </row>
        <row r="1059">
          <cell r="C1059">
            <v>4400968</v>
          </cell>
          <cell r="D1059" t="str">
            <v>m²</v>
          </cell>
          <cell r="E1059" t="str">
            <v>Custo unitário direto total</v>
          </cell>
          <cell r="I1059">
            <v>9.34617684</v>
          </cell>
          <cell r="AF1059" t="str">
            <v>M3804</v>
          </cell>
          <cell r="AG1059" t="str">
            <v>Espécimes arbóreos de até 20 m tombados na pista</v>
          </cell>
          <cell r="AH1059" t="str">
            <v>t</v>
          </cell>
          <cell r="AI1059">
            <v>0</v>
          </cell>
        </row>
        <row r="1060">
          <cell r="AF1060" t="str">
            <v>M3805</v>
          </cell>
          <cell r="AG1060" t="str">
            <v>Espécimes arbóreos de 20 a 40 m tombados na pista</v>
          </cell>
          <cell r="AH1060" t="str">
            <v>t</v>
          </cell>
          <cell r="AI1060">
            <v>0</v>
          </cell>
        </row>
        <row r="1061">
          <cell r="AF1061" t="str">
            <v>M3806</v>
          </cell>
          <cell r="AG1061" t="str">
            <v>Sucatas derramadas em rodovia</v>
          </cell>
          <cell r="AH1061" t="str">
            <v>t</v>
          </cell>
          <cell r="AI1061">
            <v>0</v>
          </cell>
        </row>
        <row r="1062">
          <cell r="I1062" t="str">
            <v>DNIT</v>
          </cell>
          <cell r="AF1062" t="str">
            <v>M3807</v>
          </cell>
          <cell r="AG1062" t="str">
            <v>Veículos de grande porte incendiados em rodovia</v>
          </cell>
          <cell r="AH1062" t="str">
            <v>t</v>
          </cell>
          <cell r="AI1062">
            <v>0</v>
          </cell>
        </row>
        <row r="1063">
          <cell r="AF1063" t="str">
            <v>M3808</v>
          </cell>
          <cell r="AG1063" t="str">
            <v>Veículos de médio porte incendiados em rodovia</v>
          </cell>
          <cell r="AH1063" t="str">
            <v>t</v>
          </cell>
          <cell r="AI1063">
            <v>0</v>
          </cell>
        </row>
        <row r="1064">
          <cell r="D1064" t="str">
            <v>Outubro/2019</v>
          </cell>
          <cell r="G1064" t="str">
            <v>Produção da equipe</v>
          </cell>
          <cell r="H1064">
            <v>0.29293999999999998</v>
          </cell>
          <cell r="I1064" t="str">
            <v>t</v>
          </cell>
          <cell r="AF1064" t="str">
            <v>M3809</v>
          </cell>
          <cell r="AG1064" t="str">
            <v>Veículos de grande porte tombados em rodovia</v>
          </cell>
          <cell r="AH1064" t="str">
            <v>t</v>
          </cell>
          <cell r="AI1064">
            <v>0</v>
          </cell>
        </row>
        <row r="1065">
          <cell r="H1065" t="str">
            <v>Valores em reais (R$)</v>
          </cell>
          <cell r="AF1065" t="str">
            <v>M3810</v>
          </cell>
          <cell r="AG1065" t="str">
            <v>Veículos de médio porte tombados em rodovia</v>
          </cell>
          <cell r="AH1065" t="str">
            <v>t</v>
          </cell>
          <cell r="AI1065">
            <v>0</v>
          </cell>
        </row>
        <row r="1066">
          <cell r="C1066" t="str">
            <v>Quantidade</v>
          </cell>
          <cell r="D1066" t="str">
            <v>Utilização</v>
          </cell>
          <cell r="F1066" t="str">
            <v>Custo Horário</v>
          </cell>
          <cell r="I1066" t="str">
            <v>Custo</v>
          </cell>
          <cell r="AF1066" t="str">
            <v>M3811</v>
          </cell>
          <cell r="AG1066" t="str">
            <v>Veículos de pequeno porte tombados em rodovia</v>
          </cell>
          <cell r="AH1066" t="str">
            <v>t</v>
          </cell>
          <cell r="AI1066">
            <v>0</v>
          </cell>
        </row>
        <row r="1067">
          <cell r="D1067" t="str">
            <v>Operativa</v>
          </cell>
          <cell r="E1067" t="str">
            <v>Improdutiva</v>
          </cell>
          <cell r="F1067" t="str">
            <v>Produtivo</v>
          </cell>
          <cell r="G1067" t="str">
            <v>Improdutivo</v>
          </cell>
          <cell r="I1067" t="str">
            <v>Horário Total</v>
          </cell>
          <cell r="AF1067" t="str">
            <v>M3813</v>
          </cell>
          <cell r="AG1067" t="str">
            <v>Vidros, caixas e engradados derramados na pista em rodovia</v>
          </cell>
          <cell r="AH1067" t="str">
            <v>t</v>
          </cell>
          <cell r="AI1067">
            <v>0</v>
          </cell>
        </row>
        <row r="1068">
          <cell r="C1068">
            <v>1</v>
          </cell>
          <cell r="D1068">
            <v>1</v>
          </cell>
          <cell r="E1068">
            <v>0</v>
          </cell>
          <cell r="F1068">
            <v>0.2954</v>
          </cell>
          <cell r="G1068">
            <v>0.19900000000000001</v>
          </cell>
          <cell r="I1068">
            <v>0.2954</v>
          </cell>
          <cell r="AF1068" t="str">
            <v>M3900</v>
          </cell>
          <cell r="AG1068" t="str">
            <v>Emulsão asfáltica RR-1C com polímero</v>
          </cell>
          <cell r="AH1068" t="str">
            <v>t</v>
          </cell>
          <cell r="AI1068">
            <v>0</v>
          </cell>
        </row>
        <row r="1069">
          <cell r="G1069" t="str">
            <v>Custo horário total de equipamentos</v>
          </cell>
          <cell r="I1069">
            <v>0.2954</v>
          </cell>
          <cell r="AF1069" t="str">
            <v>M3901</v>
          </cell>
          <cell r="AG1069" t="str">
            <v>Reservatório metálico tipo taça - 5.000 l</v>
          </cell>
          <cell r="AH1069" t="str">
            <v>un</v>
          </cell>
          <cell r="AI1069">
            <v>7518.4665999999997</v>
          </cell>
        </row>
        <row r="1070">
          <cell r="C1070" t="str">
            <v>Quantidade</v>
          </cell>
          <cell r="D1070" t="str">
            <v>Unidade</v>
          </cell>
          <cell r="E1070" t="str">
            <v>Custo Horário</v>
          </cell>
          <cell r="G1070" t="str">
            <v>Custo Horário Total</v>
          </cell>
          <cell r="AF1070" t="str">
            <v>M3902</v>
          </cell>
          <cell r="AG1070" t="str">
            <v>Reservatório metálico tipo taça - 10.000 l</v>
          </cell>
          <cell r="AH1070" t="str">
            <v>un</v>
          </cell>
          <cell r="AI1070">
            <v>11393.74</v>
          </cell>
        </row>
        <row r="1071">
          <cell r="C1071">
            <v>2</v>
          </cell>
          <cell r="D1071" t="str">
            <v>h</v>
          </cell>
          <cell r="F1071">
            <v>19.378599999999999</v>
          </cell>
          <cell r="I1071">
            <v>38.757199999999997</v>
          </cell>
          <cell r="AF1071" t="str">
            <v>M3903</v>
          </cell>
          <cell r="AG1071" t="str">
            <v>Reservatório metálico tipo taça - 20.000 l</v>
          </cell>
          <cell r="AH1071" t="str">
            <v>un</v>
          </cell>
          <cell r="AI1071">
            <v>19348.436000000002</v>
          </cell>
        </row>
        <row r="1072">
          <cell r="C1072" t="str">
            <v>Custo horário total de mão de obra</v>
          </cell>
          <cell r="H1072">
            <v>38.757199999999997</v>
          </cell>
          <cell r="AF1072" t="str">
            <v>M3904</v>
          </cell>
          <cell r="AG1072" t="str">
            <v>Reservatório metálico tipo taça - 30.000 l</v>
          </cell>
          <cell r="AH1072" t="str">
            <v>un</v>
          </cell>
          <cell r="AI1072">
            <v>27796.240000000002</v>
          </cell>
        </row>
        <row r="1073">
          <cell r="C1073" t="str">
            <v>Custo horário total de execução</v>
          </cell>
          <cell r="I1073">
            <v>39.052599999999998</v>
          </cell>
          <cell r="AF1073" t="str">
            <v>M3905</v>
          </cell>
          <cell r="AG1073" t="str">
            <v>AMV tipo TR 37, abertura 1:8, bitola métrica</v>
          </cell>
          <cell r="AH1073" t="str">
            <v>un</v>
          </cell>
          <cell r="AI1073">
            <v>0</v>
          </cell>
        </row>
        <row r="1074">
          <cell r="C1074" t="str">
            <v>Custo unitário de execução</v>
          </cell>
          <cell r="I1074">
            <v>133.31262374547688</v>
          </cell>
          <cell r="AF1074" t="str">
            <v>M3906</v>
          </cell>
          <cell r="AG1074" t="str">
            <v>AMV tipo TR 37, abertura 1:10, bitola métrica</v>
          </cell>
          <cell r="AH1074" t="str">
            <v>un</v>
          </cell>
          <cell r="AI1074">
            <v>0</v>
          </cell>
        </row>
        <row r="1075">
          <cell r="G1075" t="str">
            <v>Custo do FIC</v>
          </cell>
          <cell r="I1075" t="str">
            <v>-</v>
          </cell>
          <cell r="AF1075" t="str">
            <v>M3907</v>
          </cell>
          <cell r="AG1075" t="str">
            <v>AMV tipo TR 37, abertura 1:12, bitola métrica</v>
          </cell>
          <cell r="AH1075" t="str">
            <v>un</v>
          </cell>
          <cell r="AI1075">
            <v>0</v>
          </cell>
        </row>
        <row r="1076">
          <cell r="G1076" t="str">
            <v>Custo do FIT</v>
          </cell>
          <cell r="I1076" t="str">
            <v>-</v>
          </cell>
          <cell r="AF1076" t="str">
            <v>M3908</v>
          </cell>
          <cell r="AG1076" t="str">
            <v>AMV tipo TR 37, abertura 1:14, bitola métrica</v>
          </cell>
          <cell r="AH1076" t="str">
            <v>un</v>
          </cell>
          <cell r="AI1076">
            <v>0</v>
          </cell>
        </row>
        <row r="1077">
          <cell r="C1077" t="str">
            <v>Quantidade</v>
          </cell>
          <cell r="D1077" t="str">
            <v>Unidade</v>
          </cell>
          <cell r="E1077" t="str">
            <v>Preço Unitário</v>
          </cell>
          <cell r="G1077" t="str">
            <v>Custo Unitário</v>
          </cell>
          <cell r="AF1077" t="str">
            <v>M3909</v>
          </cell>
          <cell r="AG1077" t="str">
            <v>Bico de corte a plasma - 65A</v>
          </cell>
          <cell r="AH1077" t="str">
            <v>un</v>
          </cell>
          <cell r="AI1077">
            <v>40.998699999999999</v>
          </cell>
        </row>
        <row r="1078">
          <cell r="C1078">
            <v>1</v>
          </cell>
          <cell r="D1078" t="str">
            <v>t</v>
          </cell>
          <cell r="F1078">
            <v>0</v>
          </cell>
          <cell r="I1078">
            <v>0</v>
          </cell>
          <cell r="AF1078" t="str">
            <v>M3910</v>
          </cell>
          <cell r="AG1078" t="str">
            <v>Bico de corte a plasma - 45A</v>
          </cell>
          <cell r="AH1078" t="str">
            <v>un</v>
          </cell>
          <cell r="AI1078">
            <v>39.992699999999999</v>
          </cell>
        </row>
        <row r="1079">
          <cell r="C1079" t="str">
            <v>Custo unitário total de material</v>
          </cell>
          <cell r="AF1079" t="str">
            <v>M3911</v>
          </cell>
          <cell r="AG1079" t="str">
            <v>Bocal de corte a plasma manual</v>
          </cell>
          <cell r="AH1079" t="str">
            <v>un</v>
          </cell>
          <cell r="AI1079">
            <v>93.577500000000001</v>
          </cell>
        </row>
        <row r="1080">
          <cell r="C1080" t="str">
            <v>Quantidade</v>
          </cell>
          <cell r="D1080" t="str">
            <v>Unidade</v>
          </cell>
          <cell r="E1080" t="str">
            <v>Custo Unitário</v>
          </cell>
          <cell r="G1080" t="str">
            <v>Custo Unitário</v>
          </cell>
          <cell r="AF1080" t="str">
            <v>M3912</v>
          </cell>
          <cell r="AG1080" t="str">
            <v>Capa de retenção 45A/65A/85A/105A</v>
          </cell>
          <cell r="AH1080" t="str">
            <v>un</v>
          </cell>
          <cell r="AI1080">
            <v>194.1772</v>
          </cell>
        </row>
        <row r="1081">
          <cell r="C1081" t="str">
            <v>Custo total de atividades auxiliares</v>
          </cell>
          <cell r="AF1081" t="str">
            <v>M3913</v>
          </cell>
          <cell r="AG1081" t="str">
            <v>Eletrodo</v>
          </cell>
          <cell r="AH1081" t="str">
            <v>un</v>
          </cell>
          <cell r="AI1081">
            <v>59.2956</v>
          </cell>
        </row>
        <row r="1082">
          <cell r="G1082" t="str">
            <v>Subtotal</v>
          </cell>
          <cell r="AF1082" t="str">
            <v>M3914</v>
          </cell>
          <cell r="AG1082" t="str">
            <v>Distribuidor de gás</v>
          </cell>
          <cell r="AH1082" t="str">
            <v>un</v>
          </cell>
          <cell r="AI1082">
            <v>113.2115</v>
          </cell>
        </row>
        <row r="1083">
          <cell r="C1083" t="str">
            <v>Código</v>
          </cell>
          <cell r="D1083" t="str">
            <v>Quantidade</v>
          </cell>
          <cell r="E1083" t="str">
            <v>Unidade</v>
          </cell>
          <cell r="F1083" t="str">
            <v>Custo Unitário</v>
          </cell>
          <cell r="H1083" t="str">
            <v>Custo Unitário</v>
          </cell>
          <cell r="AF1083" t="str">
            <v>PAG26</v>
          </cell>
          <cell r="AI1083">
            <v>0</v>
          </cell>
        </row>
        <row r="1084">
          <cell r="C1084" t="str">
            <v>Custo unitário total de tempo fixo</v>
          </cell>
        </row>
        <row r="1085">
          <cell r="C1085" t="str">
            <v>Quantidade</v>
          </cell>
          <cell r="D1085" t="str">
            <v>Unidade</v>
          </cell>
          <cell r="E1085" t="str">
            <v>DMT</v>
          </cell>
          <cell r="I1085" t="str">
            <v>Custo Unitário</v>
          </cell>
        </row>
        <row r="1086">
          <cell r="E1086" t="str">
            <v>LN</v>
          </cell>
          <cell r="F1086" t="str">
            <v>RP</v>
          </cell>
          <cell r="G1086" t="str">
            <v>P</v>
          </cell>
        </row>
        <row r="1087">
          <cell r="C1087">
            <v>1</v>
          </cell>
          <cell r="D1087" t="str">
            <v>tkm</v>
          </cell>
          <cell r="E1087">
            <v>5915322</v>
          </cell>
          <cell r="F1087">
            <v>5915323</v>
          </cell>
          <cell r="G1087">
            <v>5915324</v>
          </cell>
        </row>
        <row r="1088">
          <cell r="C1088" t="str">
            <v>Custo unitário total de transporte</v>
          </cell>
          <cell r="I1088" t="str">
            <v>-</v>
          </cell>
        </row>
        <row r="1089">
          <cell r="C1089">
            <v>4915786</v>
          </cell>
          <cell r="D1089" t="str">
            <v>t</v>
          </cell>
          <cell r="E1089" t="str">
            <v>Custo unitário direto total</v>
          </cell>
          <cell r="I1089">
            <v>133.31262374547688</v>
          </cell>
        </row>
        <row r="1092">
          <cell r="I1092" t="str">
            <v>DNIT</v>
          </cell>
        </row>
        <row r="1094">
          <cell r="D1094" t="str">
            <v>Outubro/2019</v>
          </cell>
          <cell r="G1094" t="str">
            <v>Produção da equipe</v>
          </cell>
          <cell r="H1094">
            <v>0.62</v>
          </cell>
          <cell r="I1094" t="str">
            <v>t</v>
          </cell>
        </row>
        <row r="1095">
          <cell r="H1095" t="str">
            <v>Valores em reais (R$)</v>
          </cell>
        </row>
        <row r="1096">
          <cell r="C1096" t="str">
            <v>Quantidade</v>
          </cell>
          <cell r="D1096" t="str">
            <v>Utilização</v>
          </cell>
          <cell r="F1096" t="str">
            <v>Custo Horário</v>
          </cell>
          <cell r="I1096" t="str">
            <v>Custo</v>
          </cell>
        </row>
        <row r="1097">
          <cell r="D1097" t="str">
            <v>Operativa</v>
          </cell>
          <cell r="E1097" t="str">
            <v>Improdutiva</v>
          </cell>
          <cell r="F1097" t="str">
            <v>Produtivo</v>
          </cell>
          <cell r="G1097" t="str">
            <v>Improdutivo</v>
          </cell>
          <cell r="I1097" t="str">
            <v>Horário Total</v>
          </cell>
        </row>
        <row r="1098">
          <cell r="C1098">
            <v>1</v>
          </cell>
          <cell r="D1098">
            <v>1</v>
          </cell>
          <cell r="E1098">
            <v>0</v>
          </cell>
          <cell r="F1098">
            <v>87.298900000000003</v>
          </cell>
          <cell r="G1098">
            <v>37.209699999999998</v>
          </cell>
          <cell r="I1098">
            <v>87.298900000000003</v>
          </cell>
        </row>
        <row r="1099">
          <cell r="G1099" t="str">
            <v>Custo horário total de equipamentos</v>
          </cell>
          <cell r="I1099">
            <v>87.298900000000003</v>
          </cell>
        </row>
        <row r="1100">
          <cell r="C1100" t="str">
            <v>Quantidade</v>
          </cell>
          <cell r="D1100" t="str">
            <v>Unidade</v>
          </cell>
          <cell r="E1100" t="str">
            <v>Custo Horário</v>
          </cell>
          <cell r="G1100" t="str">
            <v>Custo Horário Total</v>
          </cell>
        </row>
        <row r="1101">
          <cell r="C1101">
            <v>2</v>
          </cell>
          <cell r="D1101" t="str">
            <v>h</v>
          </cell>
          <cell r="F1101">
            <v>19.378599999999999</v>
          </cell>
          <cell r="I1101">
            <v>38.757199999999997</v>
          </cell>
        </row>
        <row r="1102">
          <cell r="C1102" t="str">
            <v>Custo horário total de mão de obra</v>
          </cell>
          <cell r="H1102">
            <v>38.757199999999997</v>
          </cell>
        </row>
        <row r="1103">
          <cell r="C1103" t="str">
            <v>Custo horário total de execução</v>
          </cell>
          <cell r="I1103">
            <v>126.0561</v>
          </cell>
        </row>
        <row r="1104">
          <cell r="C1104" t="str">
            <v>Custo unitário de execução</v>
          </cell>
          <cell r="I1104">
            <v>203.31629032258064</v>
          </cell>
        </row>
        <row r="1105">
          <cell r="G1105" t="str">
            <v>Custo do FIC</v>
          </cell>
          <cell r="I1105" t="str">
            <v>-</v>
          </cell>
        </row>
        <row r="1106">
          <cell r="G1106" t="str">
            <v>Custo do FIT</v>
          </cell>
          <cell r="I1106" t="str">
            <v>-</v>
          </cell>
        </row>
        <row r="1107">
          <cell r="C1107" t="str">
            <v>Quantidade</v>
          </cell>
          <cell r="D1107" t="str">
            <v>Unidade</v>
          </cell>
          <cell r="E1107" t="str">
            <v>Preço Unitário</v>
          </cell>
          <cell r="G1107" t="str">
            <v>Custo Unitário</v>
          </cell>
        </row>
        <row r="1108">
          <cell r="C1108">
            <v>1</v>
          </cell>
          <cell r="D1108" t="str">
            <v>t</v>
          </cell>
          <cell r="F1108">
            <v>0</v>
          </cell>
          <cell r="I1108">
            <v>0</v>
          </cell>
        </row>
        <row r="1109">
          <cell r="C1109" t="str">
            <v>Custo unitário total de material</v>
          </cell>
        </row>
        <row r="1110">
          <cell r="C1110" t="str">
            <v>Quantidade</v>
          </cell>
          <cell r="D1110" t="str">
            <v>Unidade</v>
          </cell>
          <cell r="E1110" t="str">
            <v>Custo Unitário</v>
          </cell>
          <cell r="G1110" t="str">
            <v>Custo Unitário</v>
          </cell>
        </row>
        <row r="1111">
          <cell r="C1111" t="str">
            <v>Custo total de atividades auxiliares</v>
          </cell>
        </row>
        <row r="1112">
          <cell r="G1112" t="str">
            <v>Subtotal</v>
          </cell>
        </row>
        <row r="1113">
          <cell r="C1113" t="str">
            <v>Código</v>
          </cell>
          <cell r="D1113" t="str">
            <v>Quantidade</v>
          </cell>
          <cell r="E1113" t="str">
            <v>Unidade</v>
          </cell>
          <cell r="F1113" t="str">
            <v>Custo Unitário</v>
          </cell>
          <cell r="H1113" t="str">
            <v>Custo Unitário</v>
          </cell>
        </row>
        <row r="1114">
          <cell r="C1114" t="str">
            <v>Custo unitário total de tempo fixo</v>
          </cell>
        </row>
        <row r="1115">
          <cell r="C1115" t="str">
            <v>Quantidade</v>
          </cell>
          <cell r="D1115" t="str">
            <v>Unidade</v>
          </cell>
          <cell r="E1115" t="str">
            <v>DMT</v>
          </cell>
          <cell r="I1115" t="str">
            <v>Custo Unitário</v>
          </cell>
        </row>
        <row r="1116">
          <cell r="E1116" t="str">
            <v>LN</v>
          </cell>
          <cell r="F1116" t="str">
            <v>RP</v>
          </cell>
          <cell r="G1116" t="str">
            <v>P</v>
          </cell>
        </row>
        <row r="1117">
          <cell r="C1117">
            <v>1</v>
          </cell>
          <cell r="D1117" t="str">
            <v>tkm</v>
          </cell>
          <cell r="E1117">
            <v>5915322</v>
          </cell>
          <cell r="F1117">
            <v>5915323</v>
          </cell>
          <cell r="G1117">
            <v>5915324</v>
          </cell>
        </row>
        <row r="1118">
          <cell r="C1118" t="str">
            <v>Custo unitário total de transporte</v>
          </cell>
          <cell r="I1118" t="str">
            <v>-</v>
          </cell>
        </row>
        <row r="1119">
          <cell r="C1119">
            <v>4915795</v>
          </cell>
          <cell r="D1119" t="str">
            <v>t</v>
          </cell>
          <cell r="E1119" t="str">
            <v>Custo unitário direto total</v>
          </cell>
          <cell r="I1119">
            <v>203.31629032258064</v>
          </cell>
        </row>
        <row r="1122">
          <cell r="I1122" t="str">
            <v>DNIT</v>
          </cell>
        </row>
        <row r="1124">
          <cell r="D1124" t="str">
            <v>Outubro/2019</v>
          </cell>
          <cell r="G1124" t="str">
            <v>Produção da equipe</v>
          </cell>
          <cell r="H1124">
            <v>0.83</v>
          </cell>
          <cell r="I1124" t="str">
            <v>t</v>
          </cell>
        </row>
        <row r="1125">
          <cell r="H1125" t="str">
            <v>Valores em reais (R$)</v>
          </cell>
        </row>
        <row r="1126">
          <cell r="C1126" t="str">
            <v>Quantidade</v>
          </cell>
          <cell r="D1126" t="str">
            <v>Utilização</v>
          </cell>
          <cell r="F1126" t="str">
            <v>Custo Horário</v>
          </cell>
          <cell r="I1126" t="str">
            <v>Custo</v>
          </cell>
        </row>
        <row r="1127">
          <cell r="D1127" t="str">
            <v>Operativa</v>
          </cell>
          <cell r="E1127" t="str">
            <v>Improdutiva</v>
          </cell>
          <cell r="F1127" t="str">
            <v>Produtivo</v>
          </cell>
          <cell r="G1127" t="str">
            <v>Improdutivo</v>
          </cell>
          <cell r="I1127" t="str">
            <v>Horário Total</v>
          </cell>
        </row>
        <row r="1128">
          <cell r="C1128">
            <v>1</v>
          </cell>
          <cell r="D1128">
            <v>1</v>
          </cell>
          <cell r="E1128">
            <v>0</v>
          </cell>
          <cell r="F1128">
            <v>187.3921</v>
          </cell>
          <cell r="G1128">
            <v>77.563800000000001</v>
          </cell>
          <cell r="I1128">
            <v>187.3921</v>
          </cell>
        </row>
        <row r="1129">
          <cell r="G1129" t="str">
            <v>Custo horário total de equipamentos</v>
          </cell>
          <cell r="I1129">
            <v>187.3921</v>
          </cell>
        </row>
        <row r="1130">
          <cell r="C1130" t="str">
            <v>Quantidade</v>
          </cell>
          <cell r="D1130" t="str">
            <v>Unidade</v>
          </cell>
          <cell r="E1130" t="str">
            <v>Custo Horário</v>
          </cell>
          <cell r="G1130" t="str">
            <v>Custo Horário Total</v>
          </cell>
        </row>
        <row r="1131">
          <cell r="C1131">
            <v>6</v>
          </cell>
          <cell r="D1131" t="str">
            <v>h</v>
          </cell>
          <cell r="F1131">
            <v>19.378599999999999</v>
          </cell>
          <cell r="I1131">
            <v>116.27159999999999</v>
          </cell>
        </row>
        <row r="1132">
          <cell r="C1132" t="str">
            <v>Custo horário total de mão de obra</v>
          </cell>
          <cell r="H1132">
            <v>116.27159999999999</v>
          </cell>
        </row>
        <row r="1133">
          <cell r="C1133" t="str">
            <v>Custo horário total de execução</v>
          </cell>
          <cell r="I1133">
            <v>303.66370000000001</v>
          </cell>
        </row>
        <row r="1134">
          <cell r="C1134" t="str">
            <v>Custo unitário de execução</v>
          </cell>
          <cell r="I1134">
            <v>365.85987951807232</v>
          </cell>
        </row>
        <row r="1135">
          <cell r="G1135" t="str">
            <v>Custo do FIC</v>
          </cell>
          <cell r="I1135" t="str">
            <v>-</v>
          </cell>
        </row>
        <row r="1136">
          <cell r="G1136" t="str">
            <v>Custo do FIT</v>
          </cell>
          <cell r="I1136" t="str">
            <v>-</v>
          </cell>
        </row>
        <row r="1137">
          <cell r="C1137" t="str">
            <v>Quantidade</v>
          </cell>
          <cell r="D1137" t="str">
            <v>Unidade</v>
          </cell>
          <cell r="E1137" t="str">
            <v>Preço Unitário</v>
          </cell>
          <cell r="G1137" t="str">
            <v>Custo Unitário</v>
          </cell>
        </row>
        <row r="1138">
          <cell r="C1138">
            <v>0.1</v>
          </cell>
          <cell r="D1138" t="str">
            <v>un</v>
          </cell>
          <cell r="F1138">
            <v>466.39530000000002</v>
          </cell>
          <cell r="I1138">
            <v>46.639530000000008</v>
          </cell>
        </row>
        <row r="1139">
          <cell r="C1139">
            <v>1</v>
          </cell>
          <cell r="D1139" t="str">
            <v>t</v>
          </cell>
          <cell r="F1139">
            <v>0</v>
          </cell>
          <cell r="I1139">
            <v>0</v>
          </cell>
        </row>
        <row r="1140">
          <cell r="C1140" t="str">
            <v>Custo unitário total de material</v>
          </cell>
          <cell r="I1140">
            <v>46.639530000000008</v>
          </cell>
        </row>
        <row r="1141">
          <cell r="C1141" t="str">
            <v>Quantidade</v>
          </cell>
          <cell r="D1141" t="str">
            <v>Unidade</v>
          </cell>
          <cell r="E1141" t="str">
            <v>Custo Unitário</v>
          </cell>
          <cell r="G1141" t="str">
            <v>Custo Unitário</v>
          </cell>
        </row>
        <row r="1142">
          <cell r="C1142" t="str">
            <v>Custo total de atividades auxiliares</v>
          </cell>
        </row>
        <row r="1143">
          <cell r="G1143" t="str">
            <v>Subtotal</v>
          </cell>
        </row>
        <row r="1144">
          <cell r="C1144" t="str">
            <v>Código</v>
          </cell>
          <cell r="D1144" t="str">
            <v>Quantidade</v>
          </cell>
          <cell r="E1144" t="str">
            <v>Unidade</v>
          </cell>
          <cell r="F1144" t="str">
            <v>Custo Unitário</v>
          </cell>
          <cell r="H1144" t="str">
            <v>Custo Unitário</v>
          </cell>
        </row>
        <row r="1145">
          <cell r="C1145" t="str">
            <v>Custo unitário total de tempo fixo</v>
          </cell>
        </row>
        <row r="1146">
          <cell r="C1146" t="str">
            <v>Quantidade</v>
          </cell>
          <cell r="D1146" t="str">
            <v>Unidade</v>
          </cell>
          <cell r="E1146" t="str">
            <v>DMT</v>
          </cell>
          <cell r="I1146" t="str">
            <v>Custo Unitário</v>
          </cell>
        </row>
        <row r="1147">
          <cell r="E1147" t="str">
            <v>LN</v>
          </cell>
          <cell r="F1147" t="str">
            <v>RP</v>
          </cell>
          <cell r="G1147" t="str">
            <v>P</v>
          </cell>
        </row>
        <row r="1148">
          <cell r="C1148">
            <v>1</v>
          </cell>
          <cell r="D1148" t="str">
            <v>tkm</v>
          </cell>
          <cell r="E1148">
            <v>5914584</v>
          </cell>
          <cell r="F1148">
            <v>5914599</v>
          </cell>
          <cell r="G1148">
            <v>5914614</v>
          </cell>
        </row>
        <row r="1149">
          <cell r="C1149" t="str">
            <v>Custo unitário total de transporte</v>
          </cell>
          <cell r="I1149" t="str">
            <v>-</v>
          </cell>
        </row>
        <row r="1150">
          <cell r="C1150">
            <v>4915794</v>
          </cell>
          <cell r="D1150" t="str">
            <v>t</v>
          </cell>
          <cell r="E1150" t="str">
            <v>Custo unitário direto total</v>
          </cell>
          <cell r="I1150">
            <v>412.4994095180723</v>
          </cell>
        </row>
        <row r="1153">
          <cell r="I1153" t="str">
            <v>DNIT</v>
          </cell>
        </row>
        <row r="1155">
          <cell r="D1155" t="str">
            <v>Outubro/2019</v>
          </cell>
          <cell r="G1155" t="str">
            <v>Produção da equipe</v>
          </cell>
          <cell r="H1155">
            <v>8</v>
          </cell>
          <cell r="I1155" t="str">
            <v>t</v>
          </cell>
        </row>
        <row r="1156">
          <cell r="H1156" t="str">
            <v>Valores em reais (R$)</v>
          </cell>
        </row>
        <row r="1157">
          <cell r="C1157" t="str">
            <v>Quantidade</v>
          </cell>
          <cell r="D1157" t="str">
            <v>Utilização</v>
          </cell>
          <cell r="F1157" t="str">
            <v>Custo Horário</v>
          </cell>
          <cell r="I1157" t="str">
            <v>Custo</v>
          </cell>
        </row>
        <row r="1158">
          <cell r="D1158" t="str">
            <v>Operativa</v>
          </cell>
          <cell r="E1158" t="str">
            <v>Improdutiva</v>
          </cell>
          <cell r="F1158" t="str">
            <v>Produtivo</v>
          </cell>
          <cell r="G1158" t="str">
            <v>Improdutivo</v>
          </cell>
          <cell r="I1158" t="str">
            <v>Horário Total</v>
          </cell>
        </row>
        <row r="1159">
          <cell r="C1159">
            <v>1</v>
          </cell>
          <cell r="D1159">
            <v>1</v>
          </cell>
          <cell r="E1159">
            <v>0</v>
          </cell>
          <cell r="F1159">
            <v>88.601500000000001</v>
          </cell>
          <cell r="G1159">
            <v>41.881799999999998</v>
          </cell>
          <cell r="I1159">
            <v>88.601500000000001</v>
          </cell>
        </row>
        <row r="1160">
          <cell r="C1160">
            <v>8</v>
          </cell>
          <cell r="D1160">
            <v>1</v>
          </cell>
          <cell r="E1160">
            <v>0</v>
          </cell>
          <cell r="F1160">
            <v>0.2954</v>
          </cell>
          <cell r="G1160">
            <v>0.19900000000000001</v>
          </cell>
          <cell r="I1160">
            <v>2.3632</v>
          </cell>
        </row>
        <row r="1161">
          <cell r="G1161" t="str">
            <v>Custo horário total de equipamentos</v>
          </cell>
          <cell r="I1161">
            <v>90.964700000000008</v>
          </cell>
        </row>
        <row r="1162">
          <cell r="C1162" t="str">
            <v>Quantidade</v>
          </cell>
          <cell r="D1162" t="str">
            <v>Unidade</v>
          </cell>
          <cell r="E1162" t="str">
            <v>Custo Horário</v>
          </cell>
          <cell r="G1162" t="str">
            <v>Custo Horário Total</v>
          </cell>
        </row>
        <row r="1163">
          <cell r="C1163">
            <v>8</v>
          </cell>
          <cell r="D1163" t="str">
            <v>h</v>
          </cell>
          <cell r="F1163">
            <v>19.378599999999999</v>
          </cell>
          <cell r="I1163">
            <v>155.02879999999999</v>
          </cell>
        </row>
        <row r="1164">
          <cell r="C1164" t="str">
            <v>Custo horário total de mão de obra</v>
          </cell>
          <cell r="H1164">
            <v>155.02879999999999</v>
          </cell>
        </row>
        <row r="1165">
          <cell r="C1165" t="str">
            <v>Custo horário total de execução</v>
          </cell>
          <cell r="I1165">
            <v>245.99349999999998</v>
          </cell>
        </row>
        <row r="1166">
          <cell r="C1166" t="str">
            <v>Custo unitário de execução</v>
          </cell>
          <cell r="I1166">
            <v>30.749187499999998</v>
          </cell>
        </row>
        <row r="1167">
          <cell r="G1167" t="str">
            <v>Custo do FIC</v>
          </cell>
          <cell r="I1167" t="str">
            <v>-</v>
          </cell>
        </row>
        <row r="1168">
          <cell r="G1168" t="str">
            <v>Custo do FIT</v>
          </cell>
          <cell r="I1168" t="str">
            <v>-</v>
          </cell>
        </row>
        <row r="1169">
          <cell r="C1169" t="str">
            <v>Quantidade</v>
          </cell>
          <cell r="D1169" t="str">
            <v>Unidade</v>
          </cell>
          <cell r="E1169" t="str">
            <v>Preço Unitário</v>
          </cell>
          <cell r="G1169" t="str">
            <v>Custo Unitário</v>
          </cell>
        </row>
        <row r="1170">
          <cell r="C1170">
            <v>1</v>
          </cell>
          <cell r="D1170" t="str">
            <v>t</v>
          </cell>
          <cell r="F1170">
            <v>0</v>
          </cell>
          <cell r="I1170">
            <v>0</v>
          </cell>
        </row>
        <row r="1171">
          <cell r="C1171" t="str">
            <v>Custo unitário total de material</v>
          </cell>
        </row>
        <row r="1172">
          <cell r="C1172" t="str">
            <v>Quantidade</v>
          </cell>
          <cell r="D1172" t="str">
            <v>Unidade</v>
          </cell>
          <cell r="E1172" t="str">
            <v>Custo Unitário</v>
          </cell>
          <cell r="G1172" t="str">
            <v>Custo Unitário</v>
          </cell>
        </row>
        <row r="1173">
          <cell r="C1173" t="str">
            <v>Custo total de atividades auxiliares</v>
          </cell>
        </row>
        <row r="1174">
          <cell r="G1174" t="str">
            <v>Subtotal</v>
          </cell>
        </row>
        <row r="1175">
          <cell r="C1175" t="str">
            <v>Código</v>
          </cell>
          <cell r="D1175" t="str">
            <v>Quantidade</v>
          </cell>
          <cell r="E1175" t="str">
            <v>Unidade</v>
          </cell>
          <cell r="F1175" t="str">
            <v>Custo Unitário</v>
          </cell>
          <cell r="H1175" t="str">
            <v>Custo Unitário</v>
          </cell>
        </row>
        <row r="1176">
          <cell r="C1176" t="str">
            <v>Custo unitário total de tempo fixo</v>
          </cell>
        </row>
        <row r="1177">
          <cell r="C1177" t="str">
            <v>Quantidade</v>
          </cell>
          <cell r="D1177" t="str">
            <v>Unidade</v>
          </cell>
          <cell r="E1177" t="str">
            <v>DMT</v>
          </cell>
          <cell r="I1177" t="str">
            <v>Custo Unitário</v>
          </cell>
        </row>
        <row r="1178">
          <cell r="E1178" t="str">
            <v>LN</v>
          </cell>
          <cell r="F1178" t="str">
            <v>RP</v>
          </cell>
          <cell r="G1178" t="str">
            <v>P</v>
          </cell>
        </row>
        <row r="1179">
          <cell r="C1179">
            <v>1</v>
          </cell>
          <cell r="D1179" t="str">
            <v>tkm</v>
          </cell>
          <cell r="E1179">
            <v>5915322</v>
          </cell>
          <cell r="F1179">
            <v>5915323</v>
          </cell>
          <cell r="G1179">
            <v>5915324</v>
          </cell>
        </row>
        <row r="1180">
          <cell r="C1180" t="str">
            <v>Custo unitário total de transporte</v>
          </cell>
          <cell r="I1180" t="str">
            <v>-</v>
          </cell>
        </row>
        <row r="1181">
          <cell r="C1181">
            <v>4915699</v>
          </cell>
          <cell r="D1181" t="str">
            <v>t</v>
          </cell>
          <cell r="E1181" t="str">
            <v>Custo unitário direto total</v>
          </cell>
          <cell r="I1181">
            <v>30.749187499999998</v>
          </cell>
        </row>
        <row r="1184">
          <cell r="I1184" t="str">
            <v>DNIT</v>
          </cell>
        </row>
        <row r="1186">
          <cell r="D1186" t="str">
            <v>Outubro/2019</v>
          </cell>
          <cell r="G1186" t="str">
            <v>Produção da equipe</v>
          </cell>
          <cell r="H1186">
            <v>30</v>
          </cell>
          <cell r="I1186" t="str">
            <v>m</v>
          </cell>
        </row>
        <row r="1187">
          <cell r="H1187" t="str">
            <v>Valores em reais (R$)</v>
          </cell>
        </row>
        <row r="1188">
          <cell r="C1188" t="str">
            <v>Quantidade</v>
          </cell>
          <cell r="D1188" t="str">
            <v>Utilização</v>
          </cell>
          <cell r="F1188" t="str">
            <v>Custo Horário</v>
          </cell>
          <cell r="I1188" t="str">
            <v>Custo</v>
          </cell>
        </row>
        <row r="1189">
          <cell r="D1189" t="str">
            <v>Operativa</v>
          </cell>
          <cell r="E1189" t="str">
            <v>Improdutiva</v>
          </cell>
          <cell r="F1189" t="str">
            <v>Produtivo</v>
          </cell>
          <cell r="G1189" t="str">
            <v>Improdutivo</v>
          </cell>
          <cell r="I1189" t="str">
            <v>Horário Total</v>
          </cell>
        </row>
        <row r="1190">
          <cell r="C1190">
            <v>1</v>
          </cell>
          <cell r="D1190">
            <v>0.11</v>
          </cell>
          <cell r="E1190">
            <v>0.89</v>
          </cell>
          <cell r="F1190">
            <v>87.298900000000003</v>
          </cell>
          <cell r="G1190">
            <v>37.209699999999998</v>
          </cell>
          <cell r="I1190">
            <v>42.719512000000002</v>
          </cell>
        </row>
        <row r="1191">
          <cell r="G1191" t="str">
            <v>Custo horário total de equipamentos</v>
          </cell>
          <cell r="I1191">
            <v>42.719512000000002</v>
          </cell>
        </row>
        <row r="1192">
          <cell r="C1192" t="str">
            <v>Quantidade</v>
          </cell>
          <cell r="D1192" t="str">
            <v>Unidade</v>
          </cell>
          <cell r="E1192" t="str">
            <v>Custo Horário</v>
          </cell>
          <cell r="G1192" t="str">
            <v>Custo Horário Total</v>
          </cell>
        </row>
        <row r="1193">
          <cell r="C1193">
            <v>10</v>
          </cell>
          <cell r="D1193" t="str">
            <v>h</v>
          </cell>
          <cell r="F1193">
            <v>19.378599999999999</v>
          </cell>
          <cell r="I1193">
            <v>193.786</v>
          </cell>
        </row>
        <row r="1194">
          <cell r="C1194" t="str">
            <v>Custo horário total de mão de obra</v>
          </cell>
          <cell r="H1194">
            <v>193.786</v>
          </cell>
        </row>
        <row r="1195">
          <cell r="C1195" t="str">
            <v>Custo horário total de execução</v>
          </cell>
          <cell r="I1195">
            <v>236.50551200000001</v>
          </cell>
        </row>
        <row r="1196">
          <cell r="C1196" t="str">
            <v>Custo unitário de execução</v>
          </cell>
          <cell r="I1196">
            <v>7.8835170666666672</v>
          </cell>
        </row>
        <row r="1197">
          <cell r="G1197" t="str">
            <v>Custo do FIC</v>
          </cell>
          <cell r="I1197" t="str">
            <v>-</v>
          </cell>
        </row>
        <row r="1198">
          <cell r="G1198" t="str">
            <v>Custo do FIT</v>
          </cell>
          <cell r="I1198" t="str">
            <v>-</v>
          </cell>
        </row>
        <row r="1199">
          <cell r="C1199" t="str">
            <v>Quantidade</v>
          </cell>
          <cell r="D1199" t="str">
            <v>Unidade</v>
          </cell>
          <cell r="E1199" t="str">
            <v>Preço Unitário</v>
          </cell>
          <cell r="G1199" t="str">
            <v>Custo Unitário</v>
          </cell>
        </row>
        <row r="1200">
          <cell r="C1200">
            <v>1.14E-2</v>
          </cell>
          <cell r="D1200" t="str">
            <v>kg</v>
          </cell>
          <cell r="F1200">
            <v>6.9904999999999999</v>
          </cell>
          <cell r="I1200">
            <v>7.9691700000000004E-2</v>
          </cell>
        </row>
        <row r="1201">
          <cell r="C1201" t="str">
            <v>Custo unitário total de material</v>
          </cell>
        </row>
        <row r="1202">
          <cell r="C1202" t="str">
            <v>Quantidade</v>
          </cell>
          <cell r="D1202" t="str">
            <v>Unidade</v>
          </cell>
          <cell r="E1202" t="str">
            <v>Custo Unitário</v>
          </cell>
          <cell r="G1202" t="str">
            <v>Custo Unitário</v>
          </cell>
        </row>
        <row r="1203">
          <cell r="C1203">
            <v>0.02</v>
          </cell>
          <cell r="D1203" t="str">
            <v>un</v>
          </cell>
          <cell r="F1203">
            <v>33.672526874081917</v>
          </cell>
          <cell r="I1203">
            <v>0.67345053748163841</v>
          </cell>
        </row>
        <row r="1204">
          <cell r="C1204">
            <v>0.4</v>
          </cell>
          <cell r="D1204" t="str">
            <v>un</v>
          </cell>
          <cell r="F1204">
            <v>21.31983066261618</v>
          </cell>
          <cell r="I1204">
            <v>8.5279322650464717</v>
          </cell>
        </row>
        <row r="1205">
          <cell r="C1205" t="str">
            <v>Custo total de atividades auxiliares</v>
          </cell>
          <cell r="I1205">
            <v>9.2013828025281104</v>
          </cell>
        </row>
        <row r="1206">
          <cell r="G1206" t="str">
            <v>Subtotal</v>
          </cell>
        </row>
        <row r="1207">
          <cell r="C1207" t="str">
            <v>Código</v>
          </cell>
          <cell r="D1207" t="str">
            <v>Quantidade</v>
          </cell>
          <cell r="E1207" t="str">
            <v>Unidade</v>
          </cell>
          <cell r="F1207" t="str">
            <v>Custo Unitário</v>
          </cell>
          <cell r="H1207" t="str">
            <v>Custo Unitário</v>
          </cell>
        </row>
        <row r="1208">
          <cell r="C1208" t="str">
            <v>Custo unitário total de tempo fixo</v>
          </cell>
        </row>
        <row r="1209">
          <cell r="C1209" t="str">
            <v>Quantidade</v>
          </cell>
          <cell r="D1209" t="str">
            <v>Unidade</v>
          </cell>
          <cell r="E1209" t="str">
            <v>DMT</v>
          </cell>
          <cell r="I1209" t="str">
            <v>Custo Unitário</v>
          </cell>
        </row>
        <row r="1210">
          <cell r="E1210" t="str">
            <v>LN</v>
          </cell>
          <cell r="F1210" t="str">
            <v>RP</v>
          </cell>
          <cell r="G1210" t="str">
            <v>P</v>
          </cell>
        </row>
        <row r="1211">
          <cell r="C1211" t="str">
            <v>Custo unitário total de transporte</v>
          </cell>
          <cell r="I1211" t="str">
            <v>-</v>
          </cell>
        </row>
        <row r="1212">
          <cell r="C1212">
            <v>4915726</v>
          </cell>
          <cell r="D1212" t="str">
            <v>m</v>
          </cell>
          <cell r="E1212" t="str">
            <v>Custo unitário direto total</v>
          </cell>
          <cell r="I1212">
            <v>17.16459156919478</v>
          </cell>
        </row>
        <row r="1215">
          <cell r="I1215" t="str">
            <v>DNIT</v>
          </cell>
        </row>
        <row r="1217">
          <cell r="D1217" t="str">
            <v>Outubro/2019</v>
          </cell>
          <cell r="G1217" t="str">
            <v>Produção da equipe</v>
          </cell>
          <cell r="H1217">
            <v>3.62</v>
          </cell>
          <cell r="I1217" t="str">
            <v>m³</v>
          </cell>
        </row>
        <row r="1218">
          <cell r="H1218" t="str">
            <v>Valores em reais (R$)</v>
          </cell>
        </row>
        <row r="1219">
          <cell r="C1219" t="str">
            <v>Quantidade</v>
          </cell>
          <cell r="D1219" t="str">
            <v>Utilização</v>
          </cell>
          <cell r="F1219" t="str">
            <v>Custo Horário</v>
          </cell>
          <cell r="I1219" t="str">
            <v>Custo</v>
          </cell>
        </row>
        <row r="1220">
          <cell r="D1220" t="str">
            <v>Operativa</v>
          </cell>
          <cell r="E1220" t="str">
            <v>Improdutiva</v>
          </cell>
          <cell r="F1220" t="str">
            <v>Produtivo</v>
          </cell>
          <cell r="G1220" t="str">
            <v>Improdutivo</v>
          </cell>
          <cell r="I1220" t="str">
            <v>Horário Total</v>
          </cell>
        </row>
        <row r="1221">
          <cell r="C1221">
            <v>1</v>
          </cell>
          <cell r="D1221">
            <v>0.13</v>
          </cell>
          <cell r="E1221">
            <v>0.87</v>
          </cell>
          <cell r="F1221">
            <v>0.95130000000000003</v>
          </cell>
          <cell r="G1221">
            <v>0.62619999999999998</v>
          </cell>
          <cell r="I1221">
            <v>0.66846300000000003</v>
          </cell>
        </row>
        <row r="1222">
          <cell r="C1222">
            <v>1</v>
          </cell>
          <cell r="D1222">
            <v>1</v>
          </cell>
          <cell r="E1222">
            <v>0</v>
          </cell>
          <cell r="F1222">
            <v>37.399700000000003</v>
          </cell>
          <cell r="G1222">
            <v>23.020399999999999</v>
          </cell>
          <cell r="I1222">
            <v>37.399700000000003</v>
          </cell>
        </row>
        <row r="1223">
          <cell r="C1223">
            <v>5</v>
          </cell>
          <cell r="D1223">
            <v>0.91</v>
          </cell>
          <cell r="E1223">
            <v>8.9999999999999969E-2</v>
          </cell>
          <cell r="F1223">
            <v>0.2954</v>
          </cell>
          <cell r="G1223">
            <v>0.19900000000000001</v>
          </cell>
          <cell r="I1223">
            <v>1.4336199999999999</v>
          </cell>
        </row>
        <row r="1224">
          <cell r="C1224">
            <v>3</v>
          </cell>
          <cell r="D1224">
            <v>0.37</v>
          </cell>
          <cell r="E1224">
            <v>0.63</v>
          </cell>
          <cell r="F1224">
            <v>0.68810000000000004</v>
          </cell>
          <cell r="G1224">
            <v>0.46350000000000002</v>
          </cell>
          <cell r="I1224">
            <v>1.6398060000000001</v>
          </cell>
        </row>
        <row r="1225">
          <cell r="G1225" t="str">
            <v>Custo horário total de equipamentos</v>
          </cell>
          <cell r="I1225">
            <v>41.141589000000003</v>
          </cell>
        </row>
        <row r="1226">
          <cell r="C1226" t="str">
            <v>Quantidade</v>
          </cell>
          <cell r="D1226" t="str">
            <v>Unidade</v>
          </cell>
          <cell r="E1226" t="str">
            <v>Custo Horário</v>
          </cell>
          <cell r="G1226" t="str">
            <v>Custo Horário Total</v>
          </cell>
        </row>
        <row r="1227">
          <cell r="C1227">
            <v>1</v>
          </cell>
          <cell r="D1227" t="str">
            <v>h</v>
          </cell>
          <cell r="F1227">
            <v>24.468900000000001</v>
          </cell>
          <cell r="I1227">
            <v>24.468900000000001</v>
          </cell>
        </row>
        <row r="1228">
          <cell r="C1228">
            <v>11</v>
          </cell>
          <cell r="D1228" t="str">
            <v>h</v>
          </cell>
          <cell r="F1228">
            <v>19.378599999999999</v>
          </cell>
          <cell r="I1228">
            <v>213.16459999999998</v>
          </cell>
        </row>
        <row r="1229">
          <cell r="C1229" t="str">
            <v>Custo horário total de mão de obra</v>
          </cell>
          <cell r="H1229">
            <v>237.63349999999997</v>
          </cell>
        </row>
        <row r="1230">
          <cell r="C1230" t="str">
            <v>Custo horário total de execução</v>
          </cell>
          <cell r="I1230">
            <v>278.77508899999998</v>
          </cell>
        </row>
        <row r="1231">
          <cell r="C1231" t="str">
            <v>Custo unitário de execução</v>
          </cell>
          <cell r="I1231">
            <v>77.00969309392265</v>
          </cell>
        </row>
        <row r="1232">
          <cell r="G1232" t="str">
            <v>Custo do FIC</v>
          </cell>
          <cell r="I1232" t="str">
            <v>-</v>
          </cell>
        </row>
        <row r="1233">
          <cell r="G1233" t="str">
            <v>Custo do FIT</v>
          </cell>
          <cell r="I1233" t="str">
            <v>-</v>
          </cell>
        </row>
        <row r="1234">
          <cell r="C1234" t="str">
            <v>Quantidade</v>
          </cell>
          <cell r="D1234" t="str">
            <v>Unidade</v>
          </cell>
          <cell r="E1234" t="str">
            <v>Preço Unitário</v>
          </cell>
          <cell r="G1234" t="str">
            <v>Custo Unitário</v>
          </cell>
        </row>
        <row r="1235">
          <cell r="C1235">
            <v>0.59445999999999999</v>
          </cell>
          <cell r="D1235" t="str">
            <v>m³</v>
          </cell>
          <cell r="F1235">
            <v>75.196700000000007</v>
          </cell>
          <cell r="I1235">
            <v>44.701430282000004</v>
          </cell>
        </row>
        <row r="1236">
          <cell r="C1236">
            <v>0.36753999999999998</v>
          </cell>
          <cell r="D1236" t="str">
            <v>m³</v>
          </cell>
          <cell r="F1236">
            <v>63.738799999999998</v>
          </cell>
          <cell r="I1236">
            <v>23.426558551999999</v>
          </cell>
        </row>
        <row r="1237">
          <cell r="C1237">
            <v>0.36753999999999998</v>
          </cell>
          <cell r="D1237" t="str">
            <v>m³</v>
          </cell>
          <cell r="F1237">
            <v>61.357900000000001</v>
          </cell>
          <cell r="I1237">
            <v>22.551482566000001</v>
          </cell>
        </row>
        <row r="1238">
          <cell r="C1238">
            <v>350.34478999999999</v>
          </cell>
          <cell r="D1238" t="str">
            <v>kg</v>
          </cell>
          <cell r="F1238">
            <v>0.41970000000000002</v>
          </cell>
          <cell r="I1238">
            <v>147.03970836299999</v>
          </cell>
        </row>
        <row r="1239">
          <cell r="C1239" t="str">
            <v>Custo unitário total de material</v>
          </cell>
          <cell r="I1239">
            <v>237.719179763</v>
          </cell>
        </row>
        <row r="1240">
          <cell r="C1240" t="str">
            <v>Quantidade</v>
          </cell>
          <cell r="D1240" t="str">
            <v>Unidade</v>
          </cell>
          <cell r="E1240" t="str">
            <v>Custo Unitário</v>
          </cell>
          <cell r="G1240" t="str">
            <v>Custo Unitário</v>
          </cell>
        </row>
        <row r="1241">
          <cell r="C1241" t="str">
            <v>Custo total de atividades auxiliares</v>
          </cell>
        </row>
        <row r="1242">
          <cell r="G1242" t="str">
            <v>Subtotal</v>
          </cell>
        </row>
        <row r="1243">
          <cell r="C1243" t="str">
            <v>Código</v>
          </cell>
          <cell r="D1243" t="str">
            <v>Quantidade</v>
          </cell>
          <cell r="E1243" t="str">
            <v>Unidade</v>
          </cell>
          <cell r="F1243" t="str">
            <v>Custo Unitário</v>
          </cell>
          <cell r="H1243" t="str">
            <v>Custo Unitário</v>
          </cell>
        </row>
        <row r="1244">
          <cell r="C1244">
            <v>5914647</v>
          </cell>
          <cell r="D1244">
            <v>0.89168999999999998</v>
          </cell>
          <cell r="E1244" t="str">
            <v>t</v>
          </cell>
          <cell r="G1244">
            <v>0.93</v>
          </cell>
          <cell r="I1244">
            <v>0.82927170000000006</v>
          </cell>
        </row>
        <row r="1245">
          <cell r="C1245">
            <v>5914647</v>
          </cell>
          <cell r="D1245">
            <v>0.55130999999999997</v>
          </cell>
          <cell r="E1245" t="str">
            <v>t</v>
          </cell>
          <cell r="G1245">
            <v>0.93</v>
          </cell>
          <cell r="I1245">
            <v>0.51271829999999996</v>
          </cell>
        </row>
        <row r="1246">
          <cell r="C1246">
            <v>5914647</v>
          </cell>
          <cell r="D1246">
            <v>0.55130999999999997</v>
          </cell>
          <cell r="E1246" t="str">
            <v>t</v>
          </cell>
          <cell r="G1246">
            <v>0.93</v>
          </cell>
          <cell r="I1246">
            <v>0.51271829999999996</v>
          </cell>
        </row>
        <row r="1247">
          <cell r="C1247">
            <v>5914655</v>
          </cell>
          <cell r="D1247">
            <v>0.35033999999999998</v>
          </cell>
          <cell r="E1247" t="str">
            <v>t</v>
          </cell>
          <cell r="G1247">
            <v>22.49</v>
          </cell>
          <cell r="I1247">
            <v>7.8791465999999994</v>
          </cell>
        </row>
        <row r="1248">
          <cell r="C1248" t="str">
            <v>Custo unitário total de tempo fixo</v>
          </cell>
          <cell r="I1248">
            <v>9.733854899999999</v>
          </cell>
        </row>
        <row r="1249">
          <cell r="C1249" t="str">
            <v>Quantidade</v>
          </cell>
          <cell r="D1249" t="str">
            <v>Unidade</v>
          </cell>
          <cell r="E1249" t="str">
            <v>DMT</v>
          </cell>
          <cell r="I1249" t="str">
            <v>Custo Unitário</v>
          </cell>
        </row>
        <row r="1250">
          <cell r="E1250" t="str">
            <v>LN</v>
          </cell>
          <cell r="F1250" t="str">
            <v>RP</v>
          </cell>
          <cell r="G1250" t="str">
            <v>P</v>
          </cell>
        </row>
        <row r="1251">
          <cell r="C1251">
            <v>0.89168999999999998</v>
          </cell>
          <cell r="D1251" t="str">
            <v>tkm</v>
          </cell>
          <cell r="E1251">
            <v>5914359</v>
          </cell>
          <cell r="F1251">
            <v>5914374</v>
          </cell>
          <cell r="G1251">
            <v>5914389</v>
          </cell>
        </row>
        <row r="1252">
          <cell r="C1252">
            <v>0.55130999999999997</v>
          </cell>
          <cell r="D1252" t="str">
            <v>tkm</v>
          </cell>
          <cell r="E1252">
            <v>5914359</v>
          </cell>
          <cell r="F1252">
            <v>5914374</v>
          </cell>
          <cell r="G1252">
            <v>5914389</v>
          </cell>
        </row>
        <row r="1253">
          <cell r="C1253">
            <v>0.55130999999999997</v>
          </cell>
          <cell r="D1253" t="str">
            <v>tkm</v>
          </cell>
          <cell r="E1253">
            <v>5914359</v>
          </cell>
          <cell r="F1253">
            <v>5914374</v>
          </cell>
          <cell r="G1253">
            <v>5914389</v>
          </cell>
        </row>
        <row r="1254">
          <cell r="C1254">
            <v>0.35033999999999998</v>
          </cell>
          <cell r="D1254" t="str">
            <v>tkm</v>
          </cell>
          <cell r="E1254">
            <v>5914449</v>
          </cell>
          <cell r="F1254">
            <v>5914464</v>
          </cell>
          <cell r="G1254">
            <v>5914479</v>
          </cell>
        </row>
        <row r="1255">
          <cell r="C1255" t="str">
            <v>Custo unitário total de transporte</v>
          </cell>
          <cell r="I1255" t="str">
            <v>-</v>
          </cell>
        </row>
        <row r="1256">
          <cell r="C1256">
            <v>1107896</v>
          </cell>
          <cell r="D1256" t="str">
            <v>m³</v>
          </cell>
          <cell r="E1256" t="str">
            <v>Custo unitário direto total</v>
          </cell>
          <cell r="I1256">
            <v>324.46272775692267</v>
          </cell>
        </row>
        <row r="1259">
          <cell r="I1259" t="str">
            <v>DNIT</v>
          </cell>
        </row>
        <row r="1261">
          <cell r="D1261" t="str">
            <v>Outubro/2019</v>
          </cell>
          <cell r="G1261" t="str">
            <v>Produção da equipe</v>
          </cell>
          <cell r="H1261">
            <v>1</v>
          </cell>
          <cell r="I1261" t="str">
            <v>m³</v>
          </cell>
        </row>
        <row r="1262">
          <cell r="H1262" t="str">
            <v>Valores em reais (R$)</v>
          </cell>
        </row>
        <row r="1263">
          <cell r="C1263" t="str">
            <v>Quantidade</v>
          </cell>
          <cell r="D1263" t="str">
            <v>Utilização</v>
          </cell>
          <cell r="F1263" t="str">
            <v>Custo Horário</v>
          </cell>
          <cell r="I1263" t="str">
            <v>Custo</v>
          </cell>
        </row>
        <row r="1264">
          <cell r="D1264" t="str">
            <v>Operativa</v>
          </cell>
          <cell r="E1264" t="str">
            <v>Improdutiva</v>
          </cell>
          <cell r="F1264" t="str">
            <v>Produtivo</v>
          </cell>
          <cell r="G1264" t="str">
            <v>Improdutivo</v>
          </cell>
          <cell r="I1264" t="str">
            <v>Horário Total</v>
          </cell>
        </row>
        <row r="1265">
          <cell r="G1265" t="str">
            <v>Custo horário total de equipamentos</v>
          </cell>
        </row>
        <row r="1266">
          <cell r="C1266" t="str">
            <v>Quantidade</v>
          </cell>
          <cell r="D1266" t="str">
            <v>Unidade</v>
          </cell>
          <cell r="E1266" t="str">
            <v>Custo Horário</v>
          </cell>
          <cell r="G1266" t="str">
            <v>Custo Horário Total</v>
          </cell>
        </row>
        <row r="1267">
          <cell r="C1267" t="str">
            <v>Custo horário total de mão de obra</v>
          </cell>
          <cell r="H1267" t="str">
            <v>-</v>
          </cell>
        </row>
        <row r="1268">
          <cell r="C1268" t="str">
            <v>Custo horário total de execução</v>
          </cell>
          <cell r="I1268" t="str">
            <v>-</v>
          </cell>
        </row>
        <row r="1269">
          <cell r="C1269" t="str">
            <v>Custo unitário de execução</v>
          </cell>
          <cell r="I1269" t="str">
            <v>-</v>
          </cell>
        </row>
        <row r="1270">
          <cell r="G1270" t="str">
            <v>Custo do FIC</v>
          </cell>
          <cell r="I1270" t="str">
            <v>-</v>
          </cell>
        </row>
        <row r="1271">
          <cell r="G1271" t="str">
            <v>Custo do FIT</v>
          </cell>
          <cell r="I1271" t="str">
            <v>-</v>
          </cell>
        </row>
        <row r="1272">
          <cell r="C1272" t="str">
            <v>Quantidade</v>
          </cell>
          <cell r="D1272" t="str">
            <v>Unidade</v>
          </cell>
          <cell r="E1272" t="str">
            <v>Preço Unitário</v>
          </cell>
          <cell r="G1272" t="str">
            <v>Custo Unitário</v>
          </cell>
        </row>
        <row r="1273">
          <cell r="C1273">
            <v>1</v>
          </cell>
          <cell r="D1273" t="str">
            <v>m³</v>
          </cell>
          <cell r="F1273">
            <v>325</v>
          </cell>
          <cell r="I1273">
            <v>325</v>
          </cell>
        </row>
        <row r="1274">
          <cell r="C1274" t="str">
            <v>Custo unitário total de material</v>
          </cell>
          <cell r="I1274">
            <v>325</v>
          </cell>
        </row>
        <row r="1275">
          <cell r="C1275" t="str">
            <v>Quantidade</v>
          </cell>
          <cell r="D1275" t="str">
            <v>Unidade</v>
          </cell>
          <cell r="E1275" t="str">
            <v>Custo Unitário</v>
          </cell>
          <cell r="G1275" t="str">
            <v>Custo Unitário</v>
          </cell>
        </row>
        <row r="1276">
          <cell r="C1276" t="str">
            <v>Custo total de atividades auxiliares</v>
          </cell>
        </row>
        <row r="1277">
          <cell r="G1277" t="str">
            <v>Subtotal</v>
          </cell>
        </row>
        <row r="1278">
          <cell r="C1278" t="str">
            <v>Código</v>
          </cell>
          <cell r="D1278" t="str">
            <v>Quantidade</v>
          </cell>
          <cell r="E1278" t="str">
            <v>Unidade</v>
          </cell>
          <cell r="F1278" t="str">
            <v>Custo Unitário</v>
          </cell>
          <cell r="H1278" t="str">
            <v>Custo Unitário</v>
          </cell>
        </row>
        <row r="1279">
          <cell r="C1279" t="str">
            <v>Custo unitário total de tempo fixo</v>
          </cell>
        </row>
        <row r="1280">
          <cell r="C1280" t="str">
            <v>Quantidade</v>
          </cell>
          <cell r="D1280" t="str">
            <v>Unidade</v>
          </cell>
          <cell r="E1280" t="str">
            <v>DMT</v>
          </cell>
          <cell r="I1280" t="str">
            <v>Custo Unitário</v>
          </cell>
        </row>
        <row r="1281">
          <cell r="E1281" t="str">
            <v>LN</v>
          </cell>
          <cell r="F1281" t="str">
            <v>RP</v>
          </cell>
          <cell r="G1281" t="str">
            <v>P</v>
          </cell>
        </row>
        <row r="1282">
          <cell r="C1282" t="str">
            <v>Custo unitário total de transporte</v>
          </cell>
          <cell r="I1282" t="str">
            <v>-</v>
          </cell>
        </row>
        <row r="1283">
          <cell r="C1283">
            <v>1110000</v>
          </cell>
          <cell r="D1283" t="str">
            <v>m³</v>
          </cell>
          <cell r="E1283" t="str">
            <v>Custo unitário direto total</v>
          </cell>
          <cell r="I1283">
            <v>325</v>
          </cell>
        </row>
        <row r="1286">
          <cell r="I1286" t="str">
            <v>DNIT</v>
          </cell>
        </row>
        <row r="1288">
          <cell r="D1288" t="str">
            <v>Outubro/2019</v>
          </cell>
          <cell r="G1288" t="str">
            <v>Produção da equipe</v>
          </cell>
          <cell r="H1288">
            <v>0.6</v>
          </cell>
          <cell r="I1288" t="str">
            <v>m³</v>
          </cell>
        </row>
        <row r="1289">
          <cell r="H1289" t="str">
            <v>Valores em reais (R$)</v>
          </cell>
        </row>
        <row r="1290">
          <cell r="C1290" t="str">
            <v>Quantidade</v>
          </cell>
          <cell r="D1290" t="str">
            <v>Utilização</v>
          </cell>
          <cell r="F1290" t="str">
            <v>Custo Horário</v>
          </cell>
          <cell r="I1290" t="str">
            <v>Custo</v>
          </cell>
        </row>
        <row r="1291">
          <cell r="D1291" t="str">
            <v>Operativa</v>
          </cell>
          <cell r="E1291" t="str">
            <v>Improdutiva</v>
          </cell>
          <cell r="F1291" t="str">
            <v>Produtivo</v>
          </cell>
          <cell r="G1291" t="str">
            <v>Improdutivo</v>
          </cell>
          <cell r="I1291" t="str">
            <v>Horário Total</v>
          </cell>
        </row>
        <row r="1292">
          <cell r="C1292">
            <v>1</v>
          </cell>
          <cell r="D1292">
            <v>1</v>
          </cell>
          <cell r="E1292">
            <v>0</v>
          </cell>
          <cell r="F1292">
            <v>25.6965</v>
          </cell>
          <cell r="G1292">
            <v>5.8541999999999996</v>
          </cell>
          <cell r="I1292">
            <v>25.6965</v>
          </cell>
        </row>
        <row r="1293">
          <cell r="C1293">
            <v>1</v>
          </cell>
          <cell r="D1293">
            <v>1</v>
          </cell>
          <cell r="E1293">
            <v>0</v>
          </cell>
          <cell r="F1293">
            <v>24.271699999999999</v>
          </cell>
          <cell r="G1293">
            <v>23.029699999999998</v>
          </cell>
          <cell r="I1293">
            <v>24.271699999999999</v>
          </cell>
        </row>
        <row r="1294">
          <cell r="C1294">
            <v>1</v>
          </cell>
          <cell r="D1294">
            <v>0.37</v>
          </cell>
          <cell r="E1294">
            <v>0.63</v>
          </cell>
          <cell r="F1294">
            <v>0.2954</v>
          </cell>
          <cell r="G1294">
            <v>0.19900000000000001</v>
          </cell>
          <cell r="I1294">
            <v>0.23466799999999999</v>
          </cell>
        </row>
        <row r="1295">
          <cell r="G1295" t="str">
            <v>Custo horário total de equipamentos</v>
          </cell>
          <cell r="I1295">
            <v>50.202867999999995</v>
          </cell>
        </row>
        <row r="1296">
          <cell r="C1296" t="str">
            <v>Quantidade</v>
          </cell>
          <cell r="D1296" t="str">
            <v>Unidade</v>
          </cell>
          <cell r="E1296" t="str">
            <v>Custo Horário</v>
          </cell>
          <cell r="G1296" t="str">
            <v>Custo Horário Total</v>
          </cell>
        </row>
        <row r="1297">
          <cell r="C1297">
            <v>1</v>
          </cell>
          <cell r="D1297" t="str">
            <v>h</v>
          </cell>
          <cell r="F1297">
            <v>19.378599999999999</v>
          </cell>
          <cell r="I1297">
            <v>19.378599999999999</v>
          </cell>
        </row>
        <row r="1298">
          <cell r="C1298" t="str">
            <v>Custo horário total de mão de obra</v>
          </cell>
          <cell r="H1298">
            <v>19.378599999999999</v>
          </cell>
        </row>
        <row r="1299">
          <cell r="C1299" t="str">
            <v>Custo horário total de execução</v>
          </cell>
          <cell r="I1299">
            <v>69.581468000000001</v>
          </cell>
        </row>
        <row r="1300">
          <cell r="C1300" t="str">
            <v>Custo unitário de execução</v>
          </cell>
          <cell r="I1300">
            <v>115.96911333333334</v>
          </cell>
        </row>
        <row r="1301">
          <cell r="G1301" t="str">
            <v>Custo do FIC</v>
          </cell>
          <cell r="I1301" t="str">
            <v>-</v>
          </cell>
        </row>
        <row r="1302">
          <cell r="G1302" t="str">
            <v>Custo do FIT</v>
          </cell>
          <cell r="I1302" t="str">
            <v>-</v>
          </cell>
        </row>
        <row r="1303">
          <cell r="C1303" t="str">
            <v>Quantidade</v>
          </cell>
          <cell r="D1303" t="str">
            <v>Unidade</v>
          </cell>
          <cell r="E1303" t="str">
            <v>Preço Unitário</v>
          </cell>
          <cell r="G1303" t="str">
            <v>Custo Unitário</v>
          </cell>
        </row>
        <row r="1304">
          <cell r="C1304">
            <v>1</v>
          </cell>
          <cell r="D1304" t="str">
            <v>m³</v>
          </cell>
          <cell r="F1304">
            <v>0</v>
          </cell>
          <cell r="I1304">
            <v>0</v>
          </cell>
        </row>
        <row r="1305">
          <cell r="C1305">
            <v>0.3</v>
          </cell>
          <cell r="D1305" t="str">
            <v>un</v>
          </cell>
          <cell r="F1305">
            <v>141.29150000000001</v>
          </cell>
          <cell r="I1305">
            <v>42.387450000000001</v>
          </cell>
        </row>
        <row r="1306">
          <cell r="C1306" t="str">
            <v>Custo unitário total de material</v>
          </cell>
          <cell r="I1306">
            <v>42.387450000000001</v>
          </cell>
        </row>
        <row r="1307">
          <cell r="C1307" t="str">
            <v>Quantidade</v>
          </cell>
          <cell r="D1307" t="str">
            <v>Unidade</v>
          </cell>
          <cell r="E1307" t="str">
            <v>Custo Unitário</v>
          </cell>
          <cell r="G1307" t="str">
            <v>Custo Unitário</v>
          </cell>
        </row>
        <row r="1308">
          <cell r="C1308" t="str">
            <v>Custo total de atividades auxiliares</v>
          </cell>
        </row>
        <row r="1309">
          <cell r="G1309" t="str">
            <v>Subtotal</v>
          </cell>
        </row>
        <row r="1310">
          <cell r="C1310" t="str">
            <v>Código</v>
          </cell>
          <cell r="D1310" t="str">
            <v>Quantidade</v>
          </cell>
          <cell r="E1310" t="str">
            <v>Unidade</v>
          </cell>
          <cell r="F1310" t="str">
            <v>Custo Unitário</v>
          </cell>
          <cell r="H1310" t="str">
            <v>Custo Unitário</v>
          </cell>
        </row>
        <row r="1311">
          <cell r="C1311">
            <v>5915433</v>
          </cell>
          <cell r="D1311">
            <v>2.4</v>
          </cell>
          <cell r="E1311" t="str">
            <v>t</v>
          </cell>
          <cell r="G1311">
            <v>56.11</v>
          </cell>
          <cell r="I1311">
            <v>134.66399999999999</v>
          </cell>
        </row>
        <row r="1312">
          <cell r="C1312" t="str">
            <v>Custo unitário total de tempo fixo</v>
          </cell>
        </row>
        <row r="1313">
          <cell r="C1313" t="str">
            <v>Quantidade</v>
          </cell>
          <cell r="D1313" t="str">
            <v>Unidade</v>
          </cell>
          <cell r="E1313" t="str">
            <v>DMT</v>
          </cell>
          <cell r="I1313" t="str">
            <v>Custo Unitário</v>
          </cell>
        </row>
        <row r="1314">
          <cell r="E1314" t="str">
            <v>LN</v>
          </cell>
          <cell r="F1314" t="str">
            <v>RP</v>
          </cell>
          <cell r="G1314" t="str">
            <v>P</v>
          </cell>
        </row>
        <row r="1315">
          <cell r="C1315">
            <v>2.4</v>
          </cell>
          <cell r="D1315" t="str">
            <v>tkm</v>
          </cell>
          <cell r="E1315">
            <v>5914314</v>
          </cell>
          <cell r="F1315">
            <v>5914329</v>
          </cell>
          <cell r="G1315">
            <v>5914344</v>
          </cell>
        </row>
        <row r="1316">
          <cell r="C1316" t="str">
            <v>Custo unitário total de transporte</v>
          </cell>
          <cell r="I1316" t="str">
            <v>-</v>
          </cell>
        </row>
        <row r="1317">
          <cell r="C1317">
            <v>1600989</v>
          </cell>
          <cell r="D1317" t="str">
            <v>m³</v>
          </cell>
          <cell r="E1317" t="str">
            <v>Custo unitário direto total</v>
          </cell>
          <cell r="I1317">
            <v>293.02056333333331</v>
          </cell>
        </row>
        <row r="1320">
          <cell r="I1320" t="str">
            <v>DNIT</v>
          </cell>
        </row>
        <row r="1322">
          <cell r="D1322" t="str">
            <v>Outubro/2019</v>
          </cell>
          <cell r="G1322" t="str">
            <v>Produção da equipe</v>
          </cell>
          <cell r="H1322">
            <v>221.33</v>
          </cell>
          <cell r="I1322" t="str">
            <v>m³</v>
          </cell>
        </row>
        <row r="1323">
          <cell r="H1323" t="str">
            <v>Valores em reais (R$)</v>
          </cell>
        </row>
        <row r="1324">
          <cell r="C1324" t="str">
            <v>Quantidade</v>
          </cell>
          <cell r="D1324" t="str">
            <v>Utilização</v>
          </cell>
          <cell r="F1324" t="str">
            <v>Custo Horário</v>
          </cell>
          <cell r="I1324" t="str">
            <v>Custo</v>
          </cell>
        </row>
        <row r="1325">
          <cell r="D1325" t="str">
            <v>Operativa</v>
          </cell>
          <cell r="E1325" t="str">
            <v>Improdutiva</v>
          </cell>
          <cell r="F1325" t="str">
            <v>Produtivo</v>
          </cell>
          <cell r="G1325" t="str">
            <v>Improdutivo</v>
          </cell>
          <cell r="I1325" t="str">
            <v>Horário Total</v>
          </cell>
        </row>
        <row r="1326">
          <cell r="C1326">
            <v>1</v>
          </cell>
          <cell r="D1326">
            <v>1</v>
          </cell>
          <cell r="E1326">
            <v>0</v>
          </cell>
          <cell r="F1326">
            <v>186.76589999999999</v>
          </cell>
          <cell r="G1326">
            <v>87.599100000000007</v>
          </cell>
          <cell r="I1326">
            <v>186.76589999999999</v>
          </cell>
        </row>
        <row r="1327">
          <cell r="G1327" t="str">
            <v>Custo horário total de equipamentos</v>
          </cell>
          <cell r="I1327">
            <v>186.76589999999999</v>
          </cell>
        </row>
        <row r="1328">
          <cell r="C1328" t="str">
            <v>Quantidade</v>
          </cell>
          <cell r="D1328" t="str">
            <v>Unidade</v>
          </cell>
          <cell r="E1328" t="str">
            <v>Custo Horário</v>
          </cell>
          <cell r="G1328" t="str">
            <v>Custo Horário Total</v>
          </cell>
        </row>
        <row r="1329">
          <cell r="C1329">
            <v>1</v>
          </cell>
          <cell r="D1329" t="str">
            <v>h</v>
          </cell>
          <cell r="F1329">
            <v>19.378599999999999</v>
          </cell>
          <cell r="I1329">
            <v>19.378599999999999</v>
          </cell>
        </row>
        <row r="1330">
          <cell r="C1330" t="str">
            <v>Custo horário total de mão de obra</v>
          </cell>
          <cell r="H1330">
            <v>19.378599999999999</v>
          </cell>
        </row>
        <row r="1331">
          <cell r="C1331" t="str">
            <v>Custo horário total de execução</v>
          </cell>
          <cell r="I1331">
            <v>206.14449999999999</v>
          </cell>
        </row>
        <row r="1332">
          <cell r="C1332" t="str">
            <v>Custo unitário de execução</v>
          </cell>
          <cell r="I1332">
            <v>0.93138977996656569</v>
          </cell>
        </row>
        <row r="1333">
          <cell r="G1333" t="str">
            <v>Custo do FIC</v>
          </cell>
          <cell r="H1333">
            <v>3.1379999999999998E-2</v>
          </cell>
          <cell r="I1333">
            <v>2.9227011295350831E-2</v>
          </cell>
        </row>
        <row r="1334">
          <cell r="G1334" t="str">
            <v>Custo do FIT</v>
          </cell>
          <cell r="I1334" t="str">
            <v>-</v>
          </cell>
        </row>
        <row r="1335">
          <cell r="C1335" t="str">
            <v>Quantidade</v>
          </cell>
          <cell r="D1335" t="str">
            <v>Unidade</v>
          </cell>
          <cell r="E1335" t="str">
            <v>Preço Unitário</v>
          </cell>
          <cell r="G1335" t="str">
            <v>Custo Unitário</v>
          </cell>
        </row>
        <row r="1336">
          <cell r="C1336" t="str">
            <v>Custo unitário total de material</v>
          </cell>
        </row>
        <row r="1337">
          <cell r="C1337" t="str">
            <v>Quantidade</v>
          </cell>
          <cell r="D1337" t="str">
            <v>Unidade</v>
          </cell>
          <cell r="E1337" t="str">
            <v>Custo Unitário</v>
          </cell>
          <cell r="G1337" t="str">
            <v>Custo Unitário</v>
          </cell>
        </row>
        <row r="1338">
          <cell r="C1338" t="str">
            <v>Custo total de atividades auxiliares</v>
          </cell>
        </row>
        <row r="1339">
          <cell r="G1339" t="str">
            <v>Subtotal</v>
          </cell>
        </row>
        <row r="1340">
          <cell r="C1340" t="str">
            <v>Código</v>
          </cell>
          <cell r="D1340" t="str">
            <v>Quantidade</v>
          </cell>
          <cell r="E1340" t="str">
            <v>Unidade</v>
          </cell>
          <cell r="F1340" t="str">
            <v>Custo Unitário</v>
          </cell>
          <cell r="H1340" t="str">
            <v>Custo Unitário</v>
          </cell>
        </row>
        <row r="1341">
          <cell r="C1341" t="str">
            <v>Custo unitário total de tempo fixo</v>
          </cell>
        </row>
        <row r="1342">
          <cell r="C1342" t="str">
            <v>Quantidade</v>
          </cell>
          <cell r="D1342" t="str">
            <v>Unidade</v>
          </cell>
          <cell r="E1342" t="str">
            <v>DMT</v>
          </cell>
          <cell r="I1342" t="str">
            <v>Custo Unitário</v>
          </cell>
        </row>
        <row r="1343">
          <cell r="E1343" t="str">
            <v>LN</v>
          </cell>
          <cell r="F1343" t="str">
            <v>RP</v>
          </cell>
          <cell r="G1343" t="str">
            <v>P</v>
          </cell>
        </row>
        <row r="1344">
          <cell r="C1344" t="str">
            <v>Custo unitário total de transporte</v>
          </cell>
          <cell r="I1344" t="str">
            <v>-</v>
          </cell>
        </row>
        <row r="1345">
          <cell r="C1345">
            <v>4016096</v>
          </cell>
          <cell r="D1345" t="str">
            <v>m³</v>
          </cell>
          <cell r="E1345" t="str">
            <v>Custo unitário direto total</v>
          </cell>
          <cell r="I1345">
            <v>0.96061679126191657</v>
          </cell>
        </row>
        <row r="1348">
          <cell r="I1348" t="str">
            <v>DNIT</v>
          </cell>
        </row>
        <row r="1350">
          <cell r="D1350" t="str">
            <v>Outubro/2019</v>
          </cell>
          <cell r="G1350" t="str">
            <v>Produção da equipe</v>
          </cell>
          <cell r="H1350">
            <v>100</v>
          </cell>
          <cell r="I1350" t="str">
            <v>m²</v>
          </cell>
        </row>
        <row r="1351">
          <cell r="H1351" t="str">
            <v>Valores em reais (R$)</v>
          </cell>
        </row>
        <row r="1352">
          <cell r="C1352" t="str">
            <v>Quantidade</v>
          </cell>
          <cell r="D1352" t="str">
            <v>Utilização</v>
          </cell>
          <cell r="F1352" t="str">
            <v>Custo Horário</v>
          </cell>
          <cell r="I1352" t="str">
            <v>Custo</v>
          </cell>
        </row>
        <row r="1353">
          <cell r="D1353" t="str">
            <v>Operativa</v>
          </cell>
          <cell r="E1353" t="str">
            <v>Improdutiva</v>
          </cell>
          <cell r="F1353" t="str">
            <v>Produtivo</v>
          </cell>
          <cell r="G1353" t="str">
            <v>Improdutivo</v>
          </cell>
          <cell r="I1353" t="str">
            <v>Horário Total</v>
          </cell>
        </row>
        <row r="1354">
          <cell r="C1354">
            <v>1</v>
          </cell>
          <cell r="D1354">
            <v>0.2</v>
          </cell>
          <cell r="E1354">
            <v>0.8</v>
          </cell>
          <cell r="F1354">
            <v>121.24679999999999</v>
          </cell>
          <cell r="G1354">
            <v>33.347200000000001</v>
          </cell>
          <cell r="I1354">
            <v>50.927120000000002</v>
          </cell>
        </row>
        <row r="1355">
          <cell r="G1355" t="str">
            <v>Custo horário total de equipamentos</v>
          </cell>
          <cell r="I1355">
            <v>50.927120000000002</v>
          </cell>
        </row>
        <row r="1356">
          <cell r="C1356" t="str">
            <v>Quantidade</v>
          </cell>
          <cell r="D1356" t="str">
            <v>Unidade</v>
          </cell>
          <cell r="E1356" t="str">
            <v>Custo Horário</v>
          </cell>
          <cell r="G1356" t="str">
            <v>Custo Horário Total</v>
          </cell>
        </row>
        <row r="1357">
          <cell r="C1357">
            <v>10</v>
          </cell>
          <cell r="D1357" t="str">
            <v>h</v>
          </cell>
          <cell r="F1357">
            <v>19.378599999999999</v>
          </cell>
          <cell r="I1357">
            <v>193.786</v>
          </cell>
        </row>
        <row r="1358">
          <cell r="C1358" t="str">
            <v>Custo horário total de mão de obra</v>
          </cell>
          <cell r="H1358">
            <v>193.786</v>
          </cell>
        </row>
        <row r="1359">
          <cell r="C1359" t="str">
            <v>Custo horário total de execução</v>
          </cell>
          <cell r="I1359">
            <v>244.71312</v>
          </cell>
        </row>
        <row r="1360">
          <cell r="C1360" t="str">
            <v>Custo unitário de execução</v>
          </cell>
          <cell r="I1360">
            <v>2.4471311999999998</v>
          </cell>
        </row>
        <row r="1361">
          <cell r="G1361" t="str">
            <v>Custo do FIC</v>
          </cell>
          <cell r="I1361" t="str">
            <v>-</v>
          </cell>
        </row>
        <row r="1362">
          <cell r="G1362" t="str">
            <v>Custo do FIT</v>
          </cell>
          <cell r="I1362" t="str">
            <v>-</v>
          </cell>
        </row>
        <row r="1363">
          <cell r="C1363" t="str">
            <v>Quantidade</v>
          </cell>
          <cell r="D1363" t="str">
            <v>Unidade</v>
          </cell>
          <cell r="E1363" t="str">
            <v>Preço Unitário</v>
          </cell>
          <cell r="G1363" t="str">
            <v>Custo Unitário</v>
          </cell>
        </row>
        <row r="1364">
          <cell r="C1364" t="str">
            <v>Custo unitário total de material</v>
          </cell>
        </row>
        <row r="1365">
          <cell r="C1365" t="str">
            <v>Quantidade</v>
          </cell>
          <cell r="D1365" t="str">
            <v>Unidade</v>
          </cell>
          <cell r="E1365" t="str">
            <v>Custo Unitário</v>
          </cell>
          <cell r="G1365" t="str">
            <v>Custo Unitário</v>
          </cell>
        </row>
        <row r="1366">
          <cell r="C1366" t="str">
            <v>Custo total de atividades auxiliares</v>
          </cell>
        </row>
        <row r="1367">
          <cell r="G1367" t="str">
            <v>Subtotal</v>
          </cell>
        </row>
        <row r="1368">
          <cell r="C1368" t="str">
            <v>Código</v>
          </cell>
          <cell r="D1368" t="str">
            <v>Quantidade</v>
          </cell>
          <cell r="E1368" t="str">
            <v>Unidade</v>
          </cell>
          <cell r="F1368" t="str">
            <v>Custo Unitário</v>
          </cell>
          <cell r="H1368" t="str">
            <v>Custo Unitário</v>
          </cell>
        </row>
        <row r="1369">
          <cell r="C1369" t="str">
            <v>Custo unitário total de tempo fixo</v>
          </cell>
        </row>
        <row r="1370">
          <cell r="C1370" t="str">
            <v>Quantidade</v>
          </cell>
          <cell r="D1370" t="str">
            <v>Unidade</v>
          </cell>
          <cell r="E1370" t="str">
            <v>DMT</v>
          </cell>
          <cell r="I1370" t="str">
            <v>Custo Unitário</v>
          </cell>
        </row>
        <row r="1371">
          <cell r="E1371" t="str">
            <v>LN</v>
          </cell>
          <cell r="F1371" t="str">
            <v>RP</v>
          </cell>
          <cell r="G1371" t="str">
            <v>P</v>
          </cell>
        </row>
        <row r="1372">
          <cell r="C1372" t="str">
            <v>Custo unitário total de transporte</v>
          </cell>
          <cell r="I1372" t="str">
            <v>-</v>
          </cell>
        </row>
        <row r="1373">
          <cell r="C1373">
            <v>4413995</v>
          </cell>
          <cell r="D1373" t="str">
            <v>m²</v>
          </cell>
          <cell r="E1373" t="str">
            <v>Custo unitário direto total</v>
          </cell>
          <cell r="I1373">
            <v>2.4471311999999998</v>
          </cell>
        </row>
        <row r="1376">
          <cell r="I1376" t="str">
            <v>DNIT</v>
          </cell>
        </row>
        <row r="1378">
          <cell r="D1378" t="str">
            <v>Outubro/2019</v>
          </cell>
          <cell r="G1378" t="str">
            <v>Produção da equipe</v>
          </cell>
          <cell r="H1378">
            <v>45</v>
          </cell>
          <cell r="I1378" t="str">
            <v>un</v>
          </cell>
        </row>
        <row r="1379">
          <cell r="H1379" t="str">
            <v>Valores em reais (R$)</v>
          </cell>
        </row>
        <row r="1380">
          <cell r="C1380" t="str">
            <v>Quantidade</v>
          </cell>
          <cell r="D1380" t="str">
            <v>Utilização</v>
          </cell>
          <cell r="F1380" t="str">
            <v>Custo Horário</v>
          </cell>
          <cell r="I1380" t="str">
            <v>Custo</v>
          </cell>
        </row>
        <row r="1381">
          <cell r="D1381" t="str">
            <v>Operativa</v>
          </cell>
          <cell r="E1381" t="str">
            <v>Improdutiva</v>
          </cell>
          <cell r="F1381" t="str">
            <v>Produtivo</v>
          </cell>
          <cell r="G1381" t="str">
            <v>Improdutivo</v>
          </cell>
          <cell r="I1381" t="str">
            <v>Horário Total</v>
          </cell>
        </row>
        <row r="1382">
          <cell r="C1382">
            <v>2</v>
          </cell>
          <cell r="D1382">
            <v>1</v>
          </cell>
          <cell r="E1382">
            <v>0</v>
          </cell>
          <cell r="F1382">
            <v>0.31530000000000002</v>
          </cell>
          <cell r="G1382">
            <v>0.20979999999999999</v>
          </cell>
          <cell r="I1382">
            <v>0.63060000000000005</v>
          </cell>
        </row>
        <row r="1383">
          <cell r="G1383" t="str">
            <v>Custo horário total de equipamentos</v>
          </cell>
          <cell r="I1383">
            <v>0.63060000000000005</v>
          </cell>
        </row>
        <row r="1384">
          <cell r="C1384" t="str">
            <v>Quantidade</v>
          </cell>
          <cell r="D1384" t="str">
            <v>Unidade</v>
          </cell>
          <cell r="E1384" t="str">
            <v>Custo Horário</v>
          </cell>
          <cell r="G1384" t="str">
            <v>Custo Horário Total</v>
          </cell>
        </row>
        <row r="1385">
          <cell r="C1385">
            <v>4</v>
          </cell>
          <cell r="D1385" t="str">
            <v>h</v>
          </cell>
          <cell r="F1385">
            <v>19.378599999999999</v>
          </cell>
          <cell r="I1385">
            <v>77.514399999999995</v>
          </cell>
        </row>
        <row r="1386">
          <cell r="C1386" t="str">
            <v>Custo horário total de mão de obra</v>
          </cell>
          <cell r="H1386">
            <v>77.514399999999995</v>
          </cell>
        </row>
        <row r="1387">
          <cell r="C1387" t="str">
            <v>Custo horário total de execução</v>
          </cell>
          <cell r="I1387">
            <v>78.144999999999996</v>
          </cell>
        </row>
        <row r="1388">
          <cell r="C1388" t="str">
            <v>Custo unitário de execução</v>
          </cell>
          <cell r="I1388">
            <v>1.7365555555555554</v>
          </cell>
        </row>
        <row r="1389">
          <cell r="G1389" t="str">
            <v>Custo do FIC</v>
          </cell>
          <cell r="I1389" t="str">
            <v>-</v>
          </cell>
        </row>
        <row r="1390">
          <cell r="G1390" t="str">
            <v>Custo do FIT</v>
          </cell>
          <cell r="I1390" t="str">
            <v>-</v>
          </cell>
        </row>
        <row r="1391">
          <cell r="C1391" t="str">
            <v>Quantidade</v>
          </cell>
          <cell r="D1391" t="str">
            <v>Unidade</v>
          </cell>
          <cell r="E1391" t="str">
            <v>Preço Unitário</v>
          </cell>
          <cell r="G1391" t="str">
            <v>Custo Unitário</v>
          </cell>
        </row>
        <row r="1392">
          <cell r="C1392" t="str">
            <v>Custo unitário total de material</v>
          </cell>
        </row>
        <row r="1393">
          <cell r="C1393" t="str">
            <v>Quantidade</v>
          </cell>
          <cell r="D1393" t="str">
            <v>Unidade</v>
          </cell>
          <cell r="E1393" t="str">
            <v>Custo Unitário</v>
          </cell>
          <cell r="G1393" t="str">
            <v>Custo Unitário</v>
          </cell>
        </row>
        <row r="1394">
          <cell r="C1394">
            <v>1.70912</v>
          </cell>
          <cell r="D1394" t="str">
            <v>kg</v>
          </cell>
          <cell r="F1394">
            <v>8.4156182999999984</v>
          </cell>
          <cell r="I1394">
            <v>14.383301548895997</v>
          </cell>
        </row>
        <row r="1395">
          <cell r="C1395">
            <v>4.9500000000000002E-2</v>
          </cell>
          <cell r="D1395" t="str">
            <v>m³</v>
          </cell>
          <cell r="F1395">
            <v>354.59938928546188</v>
          </cell>
          <cell r="I1395">
            <v>17.552669769630363</v>
          </cell>
        </row>
        <row r="1396">
          <cell r="C1396" t="str">
            <v>Custo total de atividades auxiliares</v>
          </cell>
          <cell r="I1396">
            <v>31.935971318526359</v>
          </cell>
        </row>
        <row r="1397">
          <cell r="G1397" t="str">
            <v>Subtotal</v>
          </cell>
        </row>
        <row r="1398">
          <cell r="C1398" t="str">
            <v>Código</v>
          </cell>
          <cell r="D1398" t="str">
            <v>Quantidade</v>
          </cell>
          <cell r="E1398" t="str">
            <v>Unidade</v>
          </cell>
          <cell r="F1398" t="str">
            <v>Custo Unitário</v>
          </cell>
          <cell r="H1398" t="str">
            <v>Custo Unitário</v>
          </cell>
        </row>
        <row r="1399">
          <cell r="C1399" t="str">
            <v>Custo unitário total de tempo fixo</v>
          </cell>
        </row>
        <row r="1400">
          <cell r="C1400" t="str">
            <v>Quantidade</v>
          </cell>
          <cell r="D1400" t="str">
            <v>Unidade</v>
          </cell>
          <cell r="E1400" t="str">
            <v>DMT</v>
          </cell>
          <cell r="I1400" t="str">
            <v>Custo Unitário</v>
          </cell>
        </row>
        <row r="1401">
          <cell r="E1401" t="str">
            <v>LN</v>
          </cell>
          <cell r="F1401" t="str">
            <v>RP</v>
          </cell>
          <cell r="G1401" t="str">
            <v>P</v>
          </cell>
        </row>
        <row r="1402">
          <cell r="C1402" t="str">
            <v>Custo unitário total de transporte</v>
          </cell>
          <cell r="I1402" t="str">
            <v>-</v>
          </cell>
        </row>
        <row r="1403">
          <cell r="C1403">
            <v>4816129</v>
          </cell>
          <cell r="D1403" t="str">
            <v>un</v>
          </cell>
          <cell r="E1403" t="str">
            <v>Custo unitário direto total</v>
          </cell>
          <cell r="I1403">
            <v>33.672526874081917</v>
          </cell>
        </row>
        <row r="1406">
          <cell r="I1406" t="str">
            <v>DNIT</v>
          </cell>
        </row>
        <row r="1408">
          <cell r="D1408" t="str">
            <v>Outubro/2019</v>
          </cell>
          <cell r="G1408" t="str">
            <v>Produção da equipe</v>
          </cell>
          <cell r="H1408">
            <v>87</v>
          </cell>
          <cell r="I1408" t="str">
            <v>un</v>
          </cell>
        </row>
        <row r="1409">
          <cell r="H1409" t="str">
            <v>Valores em reais (R$)</v>
          </cell>
        </row>
        <row r="1410">
          <cell r="C1410" t="str">
            <v>Quantidade</v>
          </cell>
          <cell r="D1410" t="str">
            <v>Utilização</v>
          </cell>
          <cell r="F1410" t="str">
            <v>Custo Horário</v>
          </cell>
          <cell r="I1410" t="str">
            <v>Custo</v>
          </cell>
        </row>
        <row r="1411">
          <cell r="D1411" t="str">
            <v>Operativa</v>
          </cell>
          <cell r="E1411" t="str">
            <v>Improdutiva</v>
          </cell>
          <cell r="F1411" t="str">
            <v>Produtivo</v>
          </cell>
          <cell r="G1411" t="str">
            <v>Improdutivo</v>
          </cell>
          <cell r="I1411" t="str">
            <v>Horário Total</v>
          </cell>
        </row>
        <row r="1412">
          <cell r="C1412">
            <v>2</v>
          </cell>
          <cell r="D1412">
            <v>1</v>
          </cell>
          <cell r="E1412">
            <v>0</v>
          </cell>
          <cell r="F1412">
            <v>0.31530000000000002</v>
          </cell>
          <cell r="G1412">
            <v>0.20979999999999999</v>
          </cell>
          <cell r="I1412">
            <v>0.63060000000000005</v>
          </cell>
        </row>
        <row r="1413">
          <cell r="G1413" t="str">
            <v>Custo horário total de equipamentos</v>
          </cell>
          <cell r="I1413">
            <v>0.63060000000000005</v>
          </cell>
        </row>
        <row r="1414">
          <cell r="C1414" t="str">
            <v>Quantidade</v>
          </cell>
          <cell r="D1414" t="str">
            <v>Unidade</v>
          </cell>
          <cell r="E1414" t="str">
            <v>Custo Horário</v>
          </cell>
          <cell r="G1414" t="str">
            <v>Custo Horário Total</v>
          </cell>
        </row>
        <row r="1415">
          <cell r="C1415">
            <v>4</v>
          </cell>
          <cell r="D1415" t="str">
            <v>h</v>
          </cell>
          <cell r="F1415">
            <v>19.378599999999999</v>
          </cell>
          <cell r="I1415">
            <v>77.514399999999995</v>
          </cell>
        </row>
        <row r="1416">
          <cell r="C1416" t="str">
            <v>Custo horário total de mão de obra</v>
          </cell>
          <cell r="H1416">
            <v>77.514399999999995</v>
          </cell>
        </row>
        <row r="1417">
          <cell r="C1417" t="str">
            <v>Custo horário total de execução</v>
          </cell>
          <cell r="I1417">
            <v>78.144999999999996</v>
          </cell>
        </row>
        <row r="1418">
          <cell r="C1418" t="str">
            <v>Custo unitário de execução</v>
          </cell>
          <cell r="I1418">
            <v>0.89821839080459764</v>
          </cell>
        </row>
        <row r="1419">
          <cell r="G1419" t="str">
            <v>Custo do FIC</v>
          </cell>
          <cell r="I1419" t="str">
            <v>-</v>
          </cell>
        </row>
        <row r="1420">
          <cell r="G1420" t="str">
            <v>Custo do FIT</v>
          </cell>
          <cell r="I1420" t="str">
            <v>-</v>
          </cell>
        </row>
        <row r="1421">
          <cell r="C1421" t="str">
            <v>Quantidade</v>
          </cell>
          <cell r="D1421" t="str">
            <v>Unidade</v>
          </cell>
          <cell r="E1421" t="str">
            <v>Preço Unitário</v>
          </cell>
          <cell r="G1421" t="str">
            <v>Custo Unitário</v>
          </cell>
        </row>
        <row r="1422">
          <cell r="C1422" t="str">
            <v>Custo unitário total de material</v>
          </cell>
        </row>
        <row r="1423">
          <cell r="C1423" t="str">
            <v>Quantidade</v>
          </cell>
          <cell r="D1423" t="str">
            <v>Unidade</v>
          </cell>
          <cell r="E1423" t="str">
            <v>Custo Unitário</v>
          </cell>
          <cell r="G1423" t="str">
            <v>Custo Unitário</v>
          </cell>
        </row>
        <row r="1424">
          <cell r="C1424">
            <v>1.3559600000000001</v>
          </cell>
          <cell r="D1424" t="str">
            <v>kg</v>
          </cell>
          <cell r="F1424">
            <v>8.4156182999999984</v>
          </cell>
          <cell r="I1424">
            <v>11.411241790067999</v>
          </cell>
        </row>
        <row r="1425">
          <cell r="C1425">
            <v>2.5409999999999999E-2</v>
          </cell>
          <cell r="D1425" t="str">
            <v>m³</v>
          </cell>
          <cell r="F1425">
            <v>354.59938928546188</v>
          </cell>
          <cell r="I1425">
            <v>9.0103704817435855</v>
          </cell>
        </row>
        <row r="1426">
          <cell r="C1426" t="str">
            <v>Custo total de atividades auxiliares</v>
          </cell>
          <cell r="I1426">
            <v>20.421612271811583</v>
          </cell>
        </row>
        <row r="1427">
          <cell r="G1427" t="str">
            <v>Subtotal</v>
          </cell>
        </row>
        <row r="1428">
          <cell r="C1428" t="str">
            <v>Código</v>
          </cell>
          <cell r="D1428" t="str">
            <v>Quantidade</v>
          </cell>
          <cell r="E1428" t="str">
            <v>Unidade</v>
          </cell>
          <cell r="F1428" t="str">
            <v>Custo Unitário</v>
          </cell>
          <cell r="H1428" t="str">
            <v>Custo Unitário</v>
          </cell>
        </row>
        <row r="1429">
          <cell r="C1429" t="str">
            <v>Custo unitário total de tempo fixo</v>
          </cell>
        </row>
        <row r="1430">
          <cell r="C1430" t="str">
            <v>Quantidade</v>
          </cell>
          <cell r="D1430" t="str">
            <v>Unidade</v>
          </cell>
          <cell r="E1430" t="str">
            <v>DMT</v>
          </cell>
          <cell r="I1430" t="str">
            <v>Custo Unitário</v>
          </cell>
        </row>
        <row r="1431">
          <cell r="E1431" t="str">
            <v>LN</v>
          </cell>
          <cell r="F1431" t="str">
            <v>RP</v>
          </cell>
          <cell r="G1431" t="str">
            <v>P</v>
          </cell>
        </row>
        <row r="1432">
          <cell r="C1432" t="str">
            <v>Custo unitário total de transporte</v>
          </cell>
          <cell r="I1432" t="str">
            <v>-</v>
          </cell>
        </row>
        <row r="1433">
          <cell r="C1433">
            <v>4816131</v>
          </cell>
          <cell r="D1433" t="str">
            <v>un</v>
          </cell>
          <cell r="E1433" t="str">
            <v>Custo unitário direto total</v>
          </cell>
          <cell r="I1433">
            <v>21.31983066261618</v>
          </cell>
        </row>
        <row r="1436">
          <cell r="I1436" t="str">
            <v>DNIT</v>
          </cell>
        </row>
        <row r="1438">
          <cell r="D1438" t="str">
            <v>Outubro/2019</v>
          </cell>
          <cell r="G1438" t="str">
            <v>Produção da equipe</v>
          </cell>
          <cell r="H1438">
            <v>1</v>
          </cell>
          <cell r="I1438" t="str">
            <v>m³</v>
          </cell>
        </row>
        <row r="1439">
          <cell r="H1439" t="str">
            <v>Valores em reais (R$)</v>
          </cell>
        </row>
        <row r="1440">
          <cell r="C1440" t="str">
            <v>Quantidade</v>
          </cell>
          <cell r="D1440" t="str">
            <v>Utilização</v>
          </cell>
          <cell r="F1440" t="str">
            <v>Custo Horário</v>
          </cell>
          <cell r="I1440" t="str">
            <v>Custo</v>
          </cell>
        </row>
        <row r="1441">
          <cell r="D1441" t="str">
            <v>Operativa</v>
          </cell>
          <cell r="E1441" t="str">
            <v>Improdutiva</v>
          </cell>
          <cell r="F1441" t="str">
            <v>Produtivo</v>
          </cell>
          <cell r="G1441" t="str">
            <v>Improdutivo</v>
          </cell>
          <cell r="I1441" t="str">
            <v>Horário Total</v>
          </cell>
        </row>
        <row r="1442">
          <cell r="G1442" t="str">
            <v>Custo horário total de equipamentos</v>
          </cell>
        </row>
        <row r="1443">
          <cell r="C1443" t="str">
            <v>Quantidade</v>
          </cell>
          <cell r="D1443" t="str">
            <v>Unidade</v>
          </cell>
          <cell r="E1443" t="str">
            <v>Custo Horário</v>
          </cell>
          <cell r="G1443" t="str">
            <v>Custo Horário Total</v>
          </cell>
        </row>
        <row r="1444">
          <cell r="C1444" t="str">
            <v>Custo horário total de mão de obra</v>
          </cell>
          <cell r="H1444" t="str">
            <v>-</v>
          </cell>
        </row>
        <row r="1445">
          <cell r="C1445" t="str">
            <v>Custo horário total de execução</v>
          </cell>
          <cell r="I1445" t="str">
            <v>-</v>
          </cell>
        </row>
        <row r="1446">
          <cell r="C1446" t="str">
            <v>Custo unitário de execução</v>
          </cell>
          <cell r="I1446" t="str">
            <v>-</v>
          </cell>
        </row>
        <row r="1447">
          <cell r="G1447" t="str">
            <v>Custo do FIC</v>
          </cell>
          <cell r="I1447" t="str">
            <v>-</v>
          </cell>
        </row>
        <row r="1448">
          <cell r="G1448" t="str">
            <v>Custo do FIT</v>
          </cell>
          <cell r="I1448" t="str">
            <v>-</v>
          </cell>
        </row>
        <row r="1449">
          <cell r="C1449" t="str">
            <v>Quantidade</v>
          </cell>
          <cell r="D1449" t="str">
            <v>Unidade</v>
          </cell>
          <cell r="E1449" t="str">
            <v>Preço Unitário</v>
          </cell>
          <cell r="G1449" t="str">
            <v>Custo Unitário</v>
          </cell>
        </row>
        <row r="1450">
          <cell r="C1450">
            <v>1</v>
          </cell>
          <cell r="D1450" t="str">
            <v>m³</v>
          </cell>
          <cell r="F1450">
            <v>3</v>
          </cell>
          <cell r="I1450">
            <v>3</v>
          </cell>
        </row>
        <row r="1451">
          <cell r="C1451" t="str">
            <v>Custo unitário total de material</v>
          </cell>
          <cell r="I1451">
            <v>3</v>
          </cell>
        </row>
        <row r="1452">
          <cell r="C1452" t="str">
            <v>Quantidade</v>
          </cell>
          <cell r="D1452" t="str">
            <v>Unidade</v>
          </cell>
          <cell r="E1452" t="str">
            <v>Custo Unitário</v>
          </cell>
          <cell r="G1452" t="str">
            <v>Custo Unitário</v>
          </cell>
        </row>
        <row r="1453">
          <cell r="C1453" t="str">
            <v>Custo total de atividades auxiliares</v>
          </cell>
        </row>
        <row r="1454">
          <cell r="G1454" t="str">
            <v>Subtotal</v>
          </cell>
        </row>
        <row r="1455">
          <cell r="C1455" t="str">
            <v>Código</v>
          </cell>
          <cell r="D1455" t="str">
            <v>Quantidade</v>
          </cell>
          <cell r="E1455" t="str">
            <v>Unidade</v>
          </cell>
          <cell r="F1455" t="str">
            <v>Custo Unitário</v>
          </cell>
          <cell r="H1455" t="str">
            <v>Custo Unitário</v>
          </cell>
        </row>
        <row r="1456">
          <cell r="C1456" t="str">
            <v>Custo unitário total de tempo fixo</v>
          </cell>
        </row>
        <row r="1457">
          <cell r="C1457" t="str">
            <v>Quantidade</v>
          </cell>
          <cell r="D1457" t="str">
            <v>Unidade</v>
          </cell>
          <cell r="E1457" t="str">
            <v>DMT</v>
          </cell>
          <cell r="I1457" t="str">
            <v>Custo Unitário</v>
          </cell>
        </row>
        <row r="1458">
          <cell r="E1458" t="str">
            <v>LN</v>
          </cell>
          <cell r="F1458" t="str">
            <v>RP</v>
          </cell>
          <cell r="G1458" t="str">
            <v>P</v>
          </cell>
        </row>
        <row r="1459">
          <cell r="C1459" t="str">
            <v>Custo unitário total de transporte</v>
          </cell>
          <cell r="I1459" t="str">
            <v>-</v>
          </cell>
        </row>
        <row r="1460">
          <cell r="C1460">
            <v>4900002</v>
          </cell>
          <cell r="D1460" t="str">
            <v>m³</v>
          </cell>
          <cell r="E1460" t="str">
            <v>Custo unitário direto total</v>
          </cell>
          <cell r="I1460">
            <v>3</v>
          </cell>
        </row>
        <row r="1463">
          <cell r="I1463" t="str">
            <v>DNIT</v>
          </cell>
        </row>
        <row r="1465">
          <cell r="D1465" t="str">
            <v>Outubro/2019</v>
          </cell>
          <cell r="G1465" t="str">
            <v>Produção da equipe</v>
          </cell>
          <cell r="H1465">
            <v>1</v>
          </cell>
          <cell r="I1465" t="str">
            <v>m³</v>
          </cell>
        </row>
        <row r="1466">
          <cell r="H1466" t="str">
            <v>Valores em reais (R$)</v>
          </cell>
        </row>
        <row r="1467">
          <cell r="C1467" t="str">
            <v>Quantidade</v>
          </cell>
          <cell r="D1467" t="str">
            <v>Utilização</v>
          </cell>
          <cell r="F1467" t="str">
            <v>Custo Horário</v>
          </cell>
          <cell r="I1467" t="str">
            <v>Custo</v>
          </cell>
        </row>
        <row r="1468">
          <cell r="D1468" t="str">
            <v>Operativa</v>
          </cell>
          <cell r="E1468" t="str">
            <v>Improdutiva</v>
          </cell>
          <cell r="F1468" t="str">
            <v>Produtivo</v>
          </cell>
          <cell r="G1468" t="str">
            <v>Improdutivo</v>
          </cell>
          <cell r="I1468" t="str">
            <v>Horário Total</v>
          </cell>
        </row>
        <row r="1469">
          <cell r="G1469" t="str">
            <v>Custo horário total de equipamentos</v>
          </cell>
        </row>
        <row r="1470">
          <cell r="C1470" t="str">
            <v>Quantidade</v>
          </cell>
          <cell r="D1470" t="str">
            <v>Unidade</v>
          </cell>
          <cell r="E1470" t="str">
            <v>Custo Horário</v>
          </cell>
          <cell r="G1470" t="str">
            <v>Custo Horário Total</v>
          </cell>
        </row>
        <row r="1471">
          <cell r="C1471">
            <v>10</v>
          </cell>
          <cell r="D1471" t="str">
            <v>h</v>
          </cell>
          <cell r="F1471">
            <v>19.378599999999999</v>
          </cell>
          <cell r="I1471">
            <v>193.786</v>
          </cell>
        </row>
        <row r="1472">
          <cell r="C1472" t="str">
            <v>Custo horário total de mão de obra</v>
          </cell>
          <cell r="H1472">
            <v>193.786</v>
          </cell>
        </row>
        <row r="1473">
          <cell r="C1473" t="str">
            <v>Custo horário total de execução</v>
          </cell>
          <cell r="I1473">
            <v>193.786</v>
          </cell>
        </row>
        <row r="1474">
          <cell r="C1474" t="str">
            <v>Custo unitário de execução</v>
          </cell>
          <cell r="I1474">
            <v>193.786</v>
          </cell>
        </row>
        <row r="1475">
          <cell r="G1475" t="str">
            <v>Custo do FIC</v>
          </cell>
          <cell r="I1475" t="str">
            <v>-</v>
          </cell>
        </row>
        <row r="1476">
          <cell r="G1476" t="str">
            <v>Custo do FIT</v>
          </cell>
          <cell r="I1476" t="str">
            <v>-</v>
          </cell>
        </row>
        <row r="1477">
          <cell r="C1477" t="str">
            <v>Quantidade</v>
          </cell>
          <cell r="D1477" t="str">
            <v>Unidade</v>
          </cell>
          <cell r="E1477" t="str">
            <v>Preço Unitário</v>
          </cell>
          <cell r="G1477" t="str">
            <v>Custo Unitário</v>
          </cell>
        </row>
        <row r="1478">
          <cell r="C1478">
            <v>1</v>
          </cell>
          <cell r="D1478" t="str">
            <v>m³</v>
          </cell>
          <cell r="F1478">
            <v>0</v>
          </cell>
          <cell r="I1478">
            <v>0</v>
          </cell>
        </row>
        <row r="1479">
          <cell r="C1479" t="str">
            <v>Custo unitário total de material</v>
          </cell>
        </row>
        <row r="1480">
          <cell r="C1480" t="str">
            <v>Quantidade</v>
          </cell>
          <cell r="D1480" t="str">
            <v>Unidade</v>
          </cell>
          <cell r="E1480" t="str">
            <v>Custo Unitário</v>
          </cell>
          <cell r="G1480" t="str">
            <v>Custo Unitário</v>
          </cell>
        </row>
        <row r="1481">
          <cell r="C1481" t="str">
            <v>Custo total de atividades auxiliares</v>
          </cell>
        </row>
        <row r="1482">
          <cell r="G1482" t="str">
            <v>Subtotal</v>
          </cell>
        </row>
        <row r="1483">
          <cell r="C1483" t="str">
            <v>Código</v>
          </cell>
          <cell r="D1483" t="str">
            <v>Quantidade</v>
          </cell>
          <cell r="E1483" t="str">
            <v>Unidade</v>
          </cell>
          <cell r="F1483" t="str">
            <v>Custo Unitário</v>
          </cell>
          <cell r="H1483" t="str">
            <v>Custo Unitário</v>
          </cell>
        </row>
        <row r="1484">
          <cell r="C1484">
            <v>5915476</v>
          </cell>
          <cell r="D1484">
            <v>2.4</v>
          </cell>
          <cell r="E1484" t="str">
            <v>t</v>
          </cell>
          <cell r="G1484">
            <v>50.44</v>
          </cell>
          <cell r="I1484">
            <v>121.05599999999998</v>
          </cell>
        </row>
        <row r="1485">
          <cell r="C1485" t="str">
            <v>Custo unitário total de tempo fixo</v>
          </cell>
          <cell r="I1485">
            <v>121.05599999999998</v>
          </cell>
        </row>
        <row r="1486">
          <cell r="C1486" t="str">
            <v>Quantidade</v>
          </cell>
          <cell r="D1486" t="str">
            <v>Unidade</v>
          </cell>
          <cell r="E1486" t="str">
            <v>DMT</v>
          </cell>
          <cell r="I1486" t="str">
            <v>Custo Unitário</v>
          </cell>
        </row>
        <row r="1487">
          <cell r="E1487" t="str">
            <v>LN</v>
          </cell>
          <cell r="F1487" t="str">
            <v>RP</v>
          </cell>
          <cell r="G1487" t="str">
            <v>P</v>
          </cell>
        </row>
        <row r="1488">
          <cell r="C1488">
            <v>2.4</v>
          </cell>
          <cell r="D1488" t="str">
            <v>tkm</v>
          </cell>
          <cell r="E1488">
            <v>5914314</v>
          </cell>
          <cell r="F1488">
            <v>5914329</v>
          </cell>
          <cell r="G1488">
            <v>5914344</v>
          </cell>
        </row>
        <row r="1489">
          <cell r="C1489" t="str">
            <v>Custo unitário total de transporte</v>
          </cell>
          <cell r="I1489" t="str">
            <v>-</v>
          </cell>
        </row>
        <row r="1490">
          <cell r="C1490">
            <v>4915668</v>
          </cell>
          <cell r="D1490" t="str">
            <v>m³</v>
          </cell>
          <cell r="E1490" t="str">
            <v>Custo unitário direto total</v>
          </cell>
          <cell r="I1490">
            <v>314.84199999999998</v>
          </cell>
        </row>
        <row r="1493">
          <cell r="I1493" t="str">
            <v>DNIT</v>
          </cell>
        </row>
        <row r="1495">
          <cell r="D1495" t="str">
            <v>Outubro/2019</v>
          </cell>
          <cell r="G1495" t="str">
            <v>Produção da equipe</v>
          </cell>
          <cell r="H1495">
            <v>1</v>
          </cell>
          <cell r="I1495" t="str">
            <v>m³</v>
          </cell>
        </row>
        <row r="1496">
          <cell r="H1496" t="str">
            <v>Valores em reais (R$)</v>
          </cell>
        </row>
        <row r="1497">
          <cell r="C1497" t="str">
            <v>Quantidade</v>
          </cell>
          <cell r="D1497" t="str">
            <v>Utilização</v>
          </cell>
          <cell r="F1497" t="str">
            <v>Custo Horário</v>
          </cell>
          <cell r="I1497" t="str">
            <v>Custo</v>
          </cell>
        </row>
        <row r="1498">
          <cell r="D1498" t="str">
            <v>Operativa</v>
          </cell>
          <cell r="E1498" t="str">
            <v>Improdutiva</v>
          </cell>
          <cell r="F1498" t="str">
            <v>Produtivo</v>
          </cell>
          <cell r="G1498" t="str">
            <v>Improdutivo</v>
          </cell>
          <cell r="I1498" t="str">
            <v>Horário Total</v>
          </cell>
        </row>
        <row r="1499">
          <cell r="G1499" t="str">
            <v>Custo horário total de equipamentos</v>
          </cell>
        </row>
        <row r="1500">
          <cell r="C1500" t="str">
            <v>Quantidade</v>
          </cell>
          <cell r="D1500" t="str">
            <v>Unidade</v>
          </cell>
          <cell r="E1500" t="str">
            <v>Custo Horário</v>
          </cell>
          <cell r="G1500" t="str">
            <v>Custo Horário Total</v>
          </cell>
        </row>
        <row r="1501">
          <cell r="C1501" t="str">
            <v>Custo horário total de mão de obra</v>
          </cell>
          <cell r="H1501" t="str">
            <v>-</v>
          </cell>
        </row>
        <row r="1502">
          <cell r="C1502" t="str">
            <v>Custo horário total de execução</v>
          </cell>
          <cell r="I1502" t="str">
            <v>-</v>
          </cell>
        </row>
        <row r="1503">
          <cell r="C1503" t="str">
            <v>Custo unitário de execução</v>
          </cell>
          <cell r="I1503" t="str">
            <v>-</v>
          </cell>
        </row>
        <row r="1504">
          <cell r="G1504" t="str">
            <v>Custo do FIC</v>
          </cell>
          <cell r="I1504" t="str">
            <v>-</v>
          </cell>
        </row>
        <row r="1505">
          <cell r="G1505" t="str">
            <v>Custo do FIT</v>
          </cell>
          <cell r="I1505" t="str">
            <v>-</v>
          </cell>
        </row>
        <row r="1506">
          <cell r="C1506" t="str">
            <v>Quantidade</v>
          </cell>
          <cell r="D1506" t="str">
            <v>Unidade</v>
          </cell>
          <cell r="E1506" t="str">
            <v>Preço Unitário</v>
          </cell>
          <cell r="G1506" t="str">
            <v>Custo Unitário</v>
          </cell>
        </row>
        <row r="1507">
          <cell r="C1507">
            <v>1</v>
          </cell>
          <cell r="D1507" t="str">
            <v>m³</v>
          </cell>
          <cell r="F1507">
            <v>565.66</v>
          </cell>
          <cell r="I1507">
            <v>565.66</v>
          </cell>
        </row>
        <row r="1508">
          <cell r="C1508" t="str">
            <v>Custo unitário total de material</v>
          </cell>
        </row>
        <row r="1509">
          <cell r="C1509" t="str">
            <v>Quantidade</v>
          </cell>
          <cell r="D1509" t="str">
            <v>Unidade</v>
          </cell>
          <cell r="E1509" t="str">
            <v>Custo Unitário</v>
          </cell>
          <cell r="G1509" t="str">
            <v>Custo Unitário</v>
          </cell>
        </row>
        <row r="1510">
          <cell r="C1510" t="str">
            <v>Custo total de atividades auxiliares</v>
          </cell>
        </row>
        <row r="1511">
          <cell r="G1511" t="str">
            <v>Subtotal</v>
          </cell>
        </row>
        <row r="1512">
          <cell r="C1512" t="str">
            <v>Código</v>
          </cell>
          <cell r="D1512" t="str">
            <v>Quantidade</v>
          </cell>
          <cell r="E1512" t="str">
            <v>Unidade</v>
          </cell>
          <cell r="F1512" t="str">
            <v>Custo Unitário</v>
          </cell>
          <cell r="H1512" t="str">
            <v>Custo Unitário</v>
          </cell>
        </row>
        <row r="1513">
          <cell r="C1513" t="str">
            <v>Custo unitário total de tempo fixo</v>
          </cell>
        </row>
        <row r="1514">
          <cell r="C1514" t="str">
            <v>Quantidade</v>
          </cell>
          <cell r="D1514" t="str">
            <v>Unidade</v>
          </cell>
          <cell r="E1514" t="str">
            <v>DMT</v>
          </cell>
          <cell r="I1514" t="str">
            <v>Custo Unitário</v>
          </cell>
        </row>
        <row r="1515">
          <cell r="E1515" t="str">
            <v>LN</v>
          </cell>
          <cell r="F1515" t="str">
            <v>RP</v>
          </cell>
          <cell r="G1515" t="str">
            <v>P</v>
          </cell>
        </row>
        <row r="1516">
          <cell r="C1516" t="str">
            <v>Custo unitário total de transporte</v>
          </cell>
          <cell r="I1516" t="str">
            <v>-</v>
          </cell>
        </row>
        <row r="1517">
          <cell r="C1517">
            <v>4915801</v>
          </cell>
          <cell r="D1517" t="str">
            <v>m³</v>
          </cell>
          <cell r="E1517" t="str">
            <v>Custo unitário direto total</v>
          </cell>
          <cell r="I1517">
            <v>565.66</v>
          </cell>
        </row>
        <row r="1520">
          <cell r="I1520" t="str">
            <v>DNIT</v>
          </cell>
        </row>
        <row r="1522">
          <cell r="D1522" t="str">
            <v>Outubro/2019</v>
          </cell>
          <cell r="G1522" t="str">
            <v>Produção da equipe</v>
          </cell>
          <cell r="H1522">
            <v>12</v>
          </cell>
          <cell r="I1522" t="str">
            <v>un</v>
          </cell>
        </row>
        <row r="1523">
          <cell r="H1523" t="str">
            <v>Valores em reais (R$)</v>
          </cell>
        </row>
        <row r="1524">
          <cell r="C1524" t="str">
            <v>Quantidade</v>
          </cell>
          <cell r="D1524" t="str">
            <v>Utilização</v>
          </cell>
          <cell r="F1524" t="str">
            <v>Custo Horário</v>
          </cell>
          <cell r="I1524" t="str">
            <v>Custo</v>
          </cell>
        </row>
        <row r="1525">
          <cell r="D1525" t="str">
            <v>Operativa</v>
          </cell>
          <cell r="E1525" t="str">
            <v>Improdutiva</v>
          </cell>
          <cell r="F1525" t="str">
            <v>Produtivo</v>
          </cell>
          <cell r="G1525" t="str">
            <v>Improdutivo</v>
          </cell>
          <cell r="I1525" t="str">
            <v>Horário Total</v>
          </cell>
        </row>
        <row r="1526">
          <cell r="C1526">
            <v>1</v>
          </cell>
          <cell r="D1526">
            <v>1</v>
          </cell>
          <cell r="E1526">
            <v>0</v>
          </cell>
          <cell r="F1526">
            <v>2.7195999999999998</v>
          </cell>
          <cell r="G1526">
            <v>1.6277999999999999</v>
          </cell>
          <cell r="I1526">
            <v>2.7195999999999998</v>
          </cell>
        </row>
        <row r="1527">
          <cell r="C1527">
            <v>1</v>
          </cell>
          <cell r="D1527">
            <v>1</v>
          </cell>
          <cell r="E1527">
            <v>0</v>
          </cell>
          <cell r="F1527">
            <v>2.6341999999999999</v>
          </cell>
          <cell r="G1527">
            <v>0.1467</v>
          </cell>
          <cell r="I1527">
            <v>2.6341999999999999</v>
          </cell>
        </row>
        <row r="1528">
          <cell r="G1528" t="str">
            <v>Custo horário total de equipamentos</v>
          </cell>
          <cell r="I1528">
            <v>5.3537999999999997</v>
          </cell>
        </row>
        <row r="1529">
          <cell r="C1529" t="str">
            <v>Quantidade</v>
          </cell>
          <cell r="D1529" t="str">
            <v>Unidade</v>
          </cell>
          <cell r="E1529" t="str">
            <v>Custo Horário</v>
          </cell>
          <cell r="G1529" t="str">
            <v>Custo Horário Total</v>
          </cell>
        </row>
        <row r="1530">
          <cell r="C1530">
            <v>1</v>
          </cell>
          <cell r="D1530" t="str">
            <v>h</v>
          </cell>
          <cell r="F1530">
            <v>23.6508</v>
          </cell>
          <cell r="I1530">
            <v>23.6508</v>
          </cell>
        </row>
        <row r="1531">
          <cell r="C1531">
            <v>1</v>
          </cell>
          <cell r="D1531" t="str">
            <v>h</v>
          </cell>
          <cell r="F1531">
            <v>19.378599999999999</v>
          </cell>
          <cell r="I1531">
            <v>19.378599999999999</v>
          </cell>
        </row>
        <row r="1532">
          <cell r="C1532" t="str">
            <v>Custo horário total de mão de obra</v>
          </cell>
          <cell r="H1532">
            <v>43.029399999999995</v>
          </cell>
        </row>
        <row r="1533">
          <cell r="C1533" t="str">
            <v>Custo horário total de execução</v>
          </cell>
          <cell r="I1533">
            <v>48.383199999999995</v>
          </cell>
        </row>
        <row r="1534">
          <cell r="C1534" t="str">
            <v>Custo unitário de execução</v>
          </cell>
          <cell r="I1534">
            <v>4.0319333333333329</v>
          </cell>
        </row>
        <row r="1535">
          <cell r="G1535" t="str">
            <v>Custo do FIC</v>
          </cell>
          <cell r="I1535" t="str">
            <v>-</v>
          </cell>
        </row>
        <row r="1536">
          <cell r="G1536" t="str">
            <v>Custo do FIT</v>
          </cell>
          <cell r="I1536" t="str">
            <v>-</v>
          </cell>
        </row>
        <row r="1537">
          <cell r="C1537" t="str">
            <v>Quantidade</v>
          </cell>
          <cell r="D1537" t="str">
            <v>Unidade</v>
          </cell>
          <cell r="E1537" t="str">
            <v>Preço Unitário</v>
          </cell>
          <cell r="G1537" t="str">
            <v>Custo Unitário</v>
          </cell>
        </row>
        <row r="1538">
          <cell r="C1538">
            <v>1.3440000000000001E-2</v>
          </cell>
          <cell r="D1538" t="str">
            <v>m²</v>
          </cell>
          <cell r="F1538">
            <v>99.745400000000004</v>
          </cell>
          <cell r="I1538">
            <v>1.3405781760000002</v>
          </cell>
        </row>
        <row r="1539">
          <cell r="C1539">
            <v>1.5010000000000001E-2</v>
          </cell>
          <cell r="D1539" t="str">
            <v>l</v>
          </cell>
          <cell r="F1539">
            <v>24.566600000000001</v>
          </cell>
          <cell r="I1539">
            <v>0.36874466600000005</v>
          </cell>
        </row>
        <row r="1540">
          <cell r="C1540" t="str">
            <v>Custo unitário total de material</v>
          </cell>
          <cell r="I1540">
            <v>1.7093228420000002</v>
          </cell>
        </row>
        <row r="1541">
          <cell r="C1541" t="str">
            <v>Quantidade</v>
          </cell>
          <cell r="D1541" t="str">
            <v>Unidade</v>
          </cell>
          <cell r="E1541" t="str">
            <v>Custo Unitário</v>
          </cell>
          <cell r="G1541" t="str">
            <v>Custo Unitário</v>
          </cell>
        </row>
        <row r="1542">
          <cell r="C1542">
            <v>0.22</v>
          </cell>
          <cell r="D1542" t="str">
            <v>kg</v>
          </cell>
          <cell r="F1542">
            <v>8.4156182999999984</v>
          </cell>
          <cell r="I1542">
            <v>1.8514360259999996</v>
          </cell>
        </row>
        <row r="1543">
          <cell r="C1543">
            <v>7.9000000000000008E-3</v>
          </cell>
          <cell r="D1543" t="str">
            <v>m³</v>
          </cell>
          <cell r="F1543">
            <v>304.38231211565198</v>
          </cell>
          <cell r="I1543">
            <v>2.4046202657136511</v>
          </cell>
        </row>
        <row r="1544">
          <cell r="C1544" t="str">
            <v>Custo total de atividades auxiliares</v>
          </cell>
          <cell r="I1544">
            <v>4.2560562917136506</v>
          </cell>
        </row>
        <row r="1545">
          <cell r="G1545" t="str">
            <v>Subtotal</v>
          </cell>
        </row>
        <row r="1546">
          <cell r="C1546" t="str">
            <v>Código</v>
          </cell>
          <cell r="D1546" t="str">
            <v>Quantidade</v>
          </cell>
          <cell r="E1546" t="str">
            <v>Unidade</v>
          </cell>
          <cell r="F1546" t="str">
            <v>Custo Unitário</v>
          </cell>
          <cell r="H1546" t="str">
            <v>Custo Unitário</v>
          </cell>
        </row>
        <row r="1547">
          <cell r="C1547">
            <v>5915474</v>
          </cell>
          <cell r="D1547">
            <v>1.0000000000000001E-5</v>
          </cell>
          <cell r="E1547" t="str">
            <v>t</v>
          </cell>
          <cell r="G1547">
            <v>17.66</v>
          </cell>
          <cell r="I1547">
            <v>1.7660000000000001E-4</v>
          </cell>
        </row>
        <row r="1548">
          <cell r="C1548">
            <v>5915474</v>
          </cell>
          <cell r="D1548">
            <v>2.0000000000000002E-5</v>
          </cell>
          <cell r="E1548" t="str">
            <v>t</v>
          </cell>
          <cell r="G1548">
            <v>17.66</v>
          </cell>
          <cell r="I1548">
            <v>3.5320000000000002E-4</v>
          </cell>
        </row>
        <row r="1549">
          <cell r="C1549" t="str">
            <v>Custo unitário total de tempo fixo</v>
          </cell>
          <cell r="I1549">
            <v>5.2979999999999998E-4</v>
          </cell>
        </row>
        <row r="1550">
          <cell r="C1550" t="str">
            <v>Quantidade</v>
          </cell>
          <cell r="D1550" t="str">
            <v>Unidade</v>
          </cell>
          <cell r="E1550" t="str">
            <v>DMT</v>
          </cell>
          <cell r="I1550" t="str">
            <v>Custo Unitário</v>
          </cell>
        </row>
        <row r="1551">
          <cell r="E1551" t="str">
            <v>LN</v>
          </cell>
          <cell r="F1551" t="str">
            <v>RP</v>
          </cell>
          <cell r="G1551" t="str">
            <v>P</v>
          </cell>
        </row>
        <row r="1552">
          <cell r="C1552">
            <v>1.0000000000000001E-5</v>
          </cell>
          <cell r="D1552" t="str">
            <v>tkm</v>
          </cell>
          <cell r="E1552">
            <v>5915322</v>
          </cell>
          <cell r="F1552">
            <v>5915323</v>
          </cell>
          <cell r="G1552">
            <v>5915324</v>
          </cell>
        </row>
        <row r="1553">
          <cell r="C1553">
            <v>2.0000000000000002E-5</v>
          </cell>
          <cell r="D1553" t="str">
            <v>tkm</v>
          </cell>
          <cell r="E1553">
            <v>5915322</v>
          </cell>
          <cell r="F1553">
            <v>5915323</v>
          </cell>
          <cell r="G1553">
            <v>5915324</v>
          </cell>
        </row>
        <row r="1554">
          <cell r="C1554" t="str">
            <v>Custo unitário total de transporte</v>
          </cell>
          <cell r="I1554" t="str">
            <v>-</v>
          </cell>
        </row>
        <row r="1555">
          <cell r="C1555">
            <v>5216116</v>
          </cell>
          <cell r="D1555" t="str">
            <v>un</v>
          </cell>
          <cell r="E1555" t="str">
            <v>Custo unitário direto total</v>
          </cell>
          <cell r="I1555">
            <v>9.9978422670469858</v>
          </cell>
        </row>
        <row r="1558">
          <cell r="I1558" t="str">
            <v>DNIT</v>
          </cell>
        </row>
        <row r="1560">
          <cell r="D1560" t="str">
            <v>Outubro/2019</v>
          </cell>
          <cell r="G1560" t="str">
            <v>Produção da equipe</v>
          </cell>
          <cell r="H1560">
            <v>83</v>
          </cell>
          <cell r="I1560" t="str">
            <v>t</v>
          </cell>
        </row>
        <row r="1561">
          <cell r="H1561" t="str">
            <v>Valores em reais (R$)</v>
          </cell>
        </row>
        <row r="1562">
          <cell r="C1562" t="str">
            <v>Quantidade</v>
          </cell>
          <cell r="D1562" t="str">
            <v>Utilização</v>
          </cell>
          <cell r="F1562" t="str">
            <v>Custo Horário</v>
          </cell>
          <cell r="I1562" t="str">
            <v>Custo</v>
          </cell>
        </row>
        <row r="1563">
          <cell r="D1563" t="str">
            <v>Operativa</v>
          </cell>
          <cell r="E1563" t="str">
            <v>Improdutiva</v>
          </cell>
          <cell r="F1563" t="str">
            <v>Produtivo</v>
          </cell>
          <cell r="G1563" t="str">
            <v>Improdutivo</v>
          </cell>
          <cell r="I1563" t="str">
            <v>Horário Total</v>
          </cell>
        </row>
        <row r="1564">
          <cell r="C1564">
            <v>1</v>
          </cell>
          <cell r="D1564">
            <v>1</v>
          </cell>
          <cell r="E1564">
            <v>0</v>
          </cell>
          <cell r="F1564">
            <v>33.909799999999997</v>
          </cell>
          <cell r="G1564">
            <v>17.8598</v>
          </cell>
          <cell r="I1564">
            <v>33.909799999999997</v>
          </cell>
        </row>
        <row r="1565">
          <cell r="C1565">
            <v>1</v>
          </cell>
          <cell r="D1565">
            <v>0.56999999999999995</v>
          </cell>
          <cell r="E1565">
            <v>0.43000000000000005</v>
          </cell>
          <cell r="F1565">
            <v>109.1737</v>
          </cell>
          <cell r="G1565">
            <v>56.256799999999998</v>
          </cell>
          <cell r="I1565">
            <v>86.419432999999998</v>
          </cell>
        </row>
        <row r="1566">
          <cell r="C1566">
            <v>1</v>
          </cell>
          <cell r="D1566">
            <v>1</v>
          </cell>
          <cell r="E1566">
            <v>0</v>
          </cell>
          <cell r="F1566">
            <v>239.40729999999999</v>
          </cell>
          <cell r="G1566">
            <v>10.806900000000001</v>
          </cell>
          <cell r="I1566">
            <v>239.40729999999999</v>
          </cell>
        </row>
        <row r="1567">
          <cell r="C1567">
            <v>2</v>
          </cell>
          <cell r="D1567">
            <v>1</v>
          </cell>
          <cell r="E1567">
            <v>0</v>
          </cell>
          <cell r="F1567">
            <v>14.822900000000001</v>
          </cell>
          <cell r="G1567">
            <v>9.6822999999999997</v>
          </cell>
          <cell r="I1567">
            <v>29.645800000000001</v>
          </cell>
        </row>
        <row r="1568">
          <cell r="C1568">
            <v>1</v>
          </cell>
          <cell r="D1568">
            <v>1</v>
          </cell>
          <cell r="E1568">
            <v>0</v>
          </cell>
          <cell r="F1568">
            <v>728.57429999999999</v>
          </cell>
          <cell r="G1568">
            <v>367.14960000000002</v>
          </cell>
          <cell r="I1568">
            <v>728.57429999999999</v>
          </cell>
        </row>
        <row r="1569">
          <cell r="G1569" t="str">
            <v>Custo horário total de equipamentos</v>
          </cell>
          <cell r="I1569">
            <v>1117.956633</v>
          </cell>
        </row>
        <row r="1570">
          <cell r="C1570" t="str">
            <v>Quantidade</v>
          </cell>
          <cell r="D1570" t="str">
            <v>Unidade</v>
          </cell>
          <cell r="E1570" t="str">
            <v>Custo Horário</v>
          </cell>
          <cell r="G1570" t="str">
            <v>Custo Horário Total</v>
          </cell>
        </row>
        <row r="1571">
          <cell r="C1571">
            <v>8</v>
          </cell>
          <cell r="D1571" t="str">
            <v>h</v>
          </cell>
          <cell r="F1571">
            <v>19.378599999999999</v>
          </cell>
          <cell r="I1571">
            <v>155.02879999999999</v>
          </cell>
        </row>
        <row r="1572">
          <cell r="C1572" t="str">
            <v>Custo horário total de mão de obra</v>
          </cell>
          <cell r="H1572">
            <v>155.02879999999999</v>
          </cell>
        </row>
        <row r="1573">
          <cell r="C1573" t="str">
            <v>Custo horário total de execução</v>
          </cell>
          <cell r="I1573">
            <v>1272.9854330000001</v>
          </cell>
        </row>
        <row r="1574">
          <cell r="C1574" t="str">
            <v>Custo unitário de execução</v>
          </cell>
          <cell r="I1574">
            <v>15.337173891566266</v>
          </cell>
        </row>
        <row r="1575">
          <cell r="G1575" t="str">
            <v>Custo do FIC</v>
          </cell>
          <cell r="I1575" t="str">
            <v>-</v>
          </cell>
        </row>
        <row r="1576">
          <cell r="G1576" t="str">
            <v>Custo do FIT</v>
          </cell>
          <cell r="I1576" t="str">
            <v>-</v>
          </cell>
        </row>
        <row r="1577">
          <cell r="C1577" t="str">
            <v>Quantidade</v>
          </cell>
          <cell r="D1577" t="str">
            <v>Unidade</v>
          </cell>
          <cell r="E1577" t="str">
            <v>Preço Unitário</v>
          </cell>
          <cell r="G1577" t="str">
            <v>Custo Unitário</v>
          </cell>
        </row>
        <row r="1578">
          <cell r="C1578">
            <v>0.32704</v>
          </cell>
          <cell r="D1578" t="str">
            <v>m³</v>
          </cell>
          <cell r="F1578">
            <v>56.8108</v>
          </cell>
          <cell r="I1578">
            <v>18.579404031999999</v>
          </cell>
        </row>
        <row r="1579">
          <cell r="C1579">
            <v>0.12579000000000001</v>
          </cell>
          <cell r="D1579" t="str">
            <v>m³</v>
          </cell>
          <cell r="F1579">
            <v>64.418999999999997</v>
          </cell>
          <cell r="I1579">
            <v>8.1032660100000005</v>
          </cell>
        </row>
        <row r="1580">
          <cell r="C1580">
            <v>56.603769999999997</v>
          </cell>
          <cell r="D1580" t="str">
            <v>kg</v>
          </cell>
          <cell r="F1580">
            <v>0.42870000000000003</v>
          </cell>
          <cell r="I1580">
            <v>24.266036199000002</v>
          </cell>
        </row>
        <row r="1581">
          <cell r="C1581">
            <v>5.6599999999999998E-2</v>
          </cell>
          <cell r="D1581" t="str">
            <v>t</v>
          </cell>
          <cell r="F1581">
            <v>2810.76055</v>
          </cell>
          <cell r="I1581">
            <v>159.08904712999998</v>
          </cell>
        </row>
        <row r="1582">
          <cell r="C1582">
            <v>8</v>
          </cell>
          <cell r="D1582" t="str">
            <v>l</v>
          </cell>
          <cell r="F1582">
            <v>3.1292</v>
          </cell>
          <cell r="I1582">
            <v>25.0336</v>
          </cell>
        </row>
        <row r="1583">
          <cell r="C1583">
            <v>0.13836000000000001</v>
          </cell>
          <cell r="D1583" t="str">
            <v>m³</v>
          </cell>
          <cell r="F1583">
            <v>64.188100000000006</v>
          </cell>
          <cell r="I1583">
            <v>8.8810655160000014</v>
          </cell>
        </row>
        <row r="1584">
          <cell r="C1584" t="str">
            <v>Custo unitário total de material</v>
          </cell>
          <cell r="I1584">
            <v>243.95241888699999</v>
          </cell>
        </row>
        <row r="1585">
          <cell r="C1585" t="str">
            <v>Quantidade</v>
          </cell>
          <cell r="D1585" t="str">
            <v>Unidade</v>
          </cell>
          <cell r="E1585" t="str">
            <v>Custo Unitário</v>
          </cell>
          <cell r="G1585" t="str">
            <v>Custo Unitário</v>
          </cell>
        </row>
        <row r="1586">
          <cell r="C1586" t="str">
            <v>Custo total de atividades auxiliares</v>
          </cell>
        </row>
        <row r="1587">
          <cell r="G1587" t="str">
            <v>Subtotal</v>
          </cell>
        </row>
        <row r="1588">
          <cell r="C1588" t="str">
            <v>Código</v>
          </cell>
          <cell r="D1588" t="str">
            <v>Quantidade</v>
          </cell>
          <cell r="E1588" t="str">
            <v>Unidade</v>
          </cell>
          <cell r="F1588" t="str">
            <v>Custo Unitário</v>
          </cell>
          <cell r="H1588" t="str">
            <v>Custo Unitário</v>
          </cell>
        </row>
        <row r="1589">
          <cell r="C1589">
            <v>5914647</v>
          </cell>
          <cell r="D1589">
            <v>0.49056</v>
          </cell>
          <cell r="E1589" t="str">
            <v>t</v>
          </cell>
          <cell r="G1589">
            <v>0.93</v>
          </cell>
          <cell r="I1589">
            <v>0.45622080000000004</v>
          </cell>
        </row>
        <row r="1590">
          <cell r="C1590">
            <v>5914647</v>
          </cell>
          <cell r="D1590">
            <v>0.18869</v>
          </cell>
          <cell r="E1590" t="str">
            <v>t</v>
          </cell>
          <cell r="G1590">
            <v>0.93</v>
          </cell>
          <cell r="I1590">
            <v>0.17548170000000002</v>
          </cell>
        </row>
        <row r="1591">
          <cell r="C1591">
            <v>5914655</v>
          </cell>
          <cell r="D1591">
            <v>5.6599999999999998E-2</v>
          </cell>
          <cell r="E1591" t="str">
            <v>t</v>
          </cell>
          <cell r="G1591">
            <v>22.49</v>
          </cell>
          <cell r="I1591">
            <v>1.2729339999999998</v>
          </cell>
        </row>
        <row r="1592">
          <cell r="C1592">
            <v>5914647</v>
          </cell>
          <cell r="D1592">
            <v>0.20754</v>
          </cell>
          <cell r="E1592" t="str">
            <v>t</v>
          </cell>
          <cell r="G1592">
            <v>0.93</v>
          </cell>
          <cell r="I1592">
            <v>0.19301220000000002</v>
          </cell>
        </row>
        <row r="1593">
          <cell r="C1593" t="str">
            <v>Custo unitário total de tempo fixo</v>
          </cell>
          <cell r="I1593">
            <v>2.0976486999999997</v>
          </cell>
        </row>
        <row r="1594">
          <cell r="C1594" t="str">
            <v>Quantidade</v>
          </cell>
          <cell r="D1594" t="str">
            <v>Unidade</v>
          </cell>
          <cell r="E1594" t="str">
            <v>DMT</v>
          </cell>
          <cell r="I1594" t="str">
            <v>Custo Unitário</v>
          </cell>
        </row>
        <row r="1595">
          <cell r="E1595" t="str">
            <v>LN</v>
          </cell>
          <cell r="F1595" t="str">
            <v>RP</v>
          </cell>
          <cell r="G1595" t="str">
            <v>P</v>
          </cell>
        </row>
        <row r="1596">
          <cell r="C1596">
            <v>0.49056</v>
          </cell>
          <cell r="D1596" t="str">
            <v>tkm</v>
          </cell>
          <cell r="E1596">
            <v>5914359</v>
          </cell>
          <cell r="F1596">
            <v>5914374</v>
          </cell>
          <cell r="G1596">
            <v>5914389</v>
          </cell>
        </row>
        <row r="1597">
          <cell r="C1597">
            <v>0.18869</v>
          </cell>
          <cell r="D1597" t="str">
            <v>tkm</v>
          </cell>
          <cell r="E1597">
            <v>5914359</v>
          </cell>
          <cell r="F1597">
            <v>5914374</v>
          </cell>
          <cell r="G1597">
            <v>5914389</v>
          </cell>
        </row>
        <row r="1598">
          <cell r="C1598">
            <v>5.6599999999999998E-2</v>
          </cell>
          <cell r="D1598" t="str">
            <v>tkm</v>
          </cell>
          <cell r="E1598">
            <v>5914449</v>
          </cell>
          <cell r="F1598">
            <v>5914464</v>
          </cell>
          <cell r="G1598">
            <v>5914479</v>
          </cell>
        </row>
        <row r="1599">
          <cell r="C1599">
            <v>0.20754</v>
          </cell>
          <cell r="D1599" t="str">
            <v>tkm</v>
          </cell>
          <cell r="E1599">
            <v>5914359</v>
          </cell>
          <cell r="F1599">
            <v>5914374</v>
          </cell>
          <cell r="G1599">
            <v>5914389</v>
          </cell>
        </row>
        <row r="1600">
          <cell r="C1600" t="str">
            <v>Custo unitário total de transporte</v>
          </cell>
          <cell r="I1600" t="str">
            <v>-</v>
          </cell>
        </row>
        <row r="1601">
          <cell r="C1601">
            <v>6416078</v>
          </cell>
          <cell r="D1601" t="str">
            <v>t</v>
          </cell>
          <cell r="E1601" t="str">
            <v>Custo unitário direto total</v>
          </cell>
          <cell r="I1601">
            <v>261.38724147856624</v>
          </cell>
        </row>
        <row r="1604">
          <cell r="I1604" t="str">
            <v>DNIT</v>
          </cell>
        </row>
        <row r="1606">
          <cell r="D1606" t="str">
            <v>Outubro/2019</v>
          </cell>
          <cell r="G1606" t="str">
            <v>Produção da equipe</v>
          </cell>
          <cell r="H1606">
            <v>5</v>
          </cell>
          <cell r="I1606" t="str">
            <v>m</v>
          </cell>
        </row>
        <row r="1607">
          <cell r="H1607" t="str">
            <v>Valores em reais (R$)</v>
          </cell>
        </row>
        <row r="1608">
          <cell r="C1608" t="str">
            <v>Quantidade</v>
          </cell>
          <cell r="D1608" t="str">
            <v>Utilização</v>
          </cell>
          <cell r="F1608" t="str">
            <v>Custo Horário</v>
          </cell>
          <cell r="I1608" t="str">
            <v>Custo</v>
          </cell>
        </row>
        <row r="1609">
          <cell r="D1609" t="str">
            <v>Operativa</v>
          </cell>
          <cell r="E1609" t="str">
            <v>Improdutiva</v>
          </cell>
          <cell r="F1609" t="str">
            <v>Produtivo</v>
          </cell>
          <cell r="G1609" t="str">
            <v>Improdutivo</v>
          </cell>
          <cell r="I1609" t="str">
            <v>Horário Total</v>
          </cell>
        </row>
        <row r="1610">
          <cell r="C1610">
            <v>0.60241</v>
          </cell>
          <cell r="D1610">
            <v>1</v>
          </cell>
          <cell r="E1610">
            <v>0</v>
          </cell>
          <cell r="F1610">
            <v>2.6341999999999999</v>
          </cell>
          <cell r="G1610">
            <v>0.1467</v>
          </cell>
          <cell r="I1610">
            <v>1.586868422</v>
          </cell>
        </row>
        <row r="1611">
          <cell r="C1611">
            <v>0.60241</v>
          </cell>
          <cell r="D1611">
            <v>1</v>
          </cell>
          <cell r="E1611">
            <v>0</v>
          </cell>
          <cell r="F1611">
            <v>0.58899999999999997</v>
          </cell>
          <cell r="G1611">
            <v>0.31090000000000001</v>
          </cell>
          <cell r="I1611">
            <v>0.35481948999999996</v>
          </cell>
        </row>
        <row r="1612">
          <cell r="C1612">
            <v>0.40161000000000002</v>
          </cell>
          <cell r="D1612">
            <v>1</v>
          </cell>
          <cell r="E1612">
            <v>0</v>
          </cell>
          <cell r="F1612">
            <v>15.3209</v>
          </cell>
          <cell r="G1612">
            <v>1.0472999999999999</v>
          </cell>
          <cell r="I1612">
            <v>6.1530266490000001</v>
          </cell>
        </row>
        <row r="1613">
          <cell r="G1613" t="str">
            <v>Custo horário total de equipamentos</v>
          </cell>
          <cell r="I1613">
            <v>8.094714561</v>
          </cell>
        </row>
        <row r="1614">
          <cell r="C1614" t="str">
            <v>Quantidade</v>
          </cell>
          <cell r="D1614" t="str">
            <v>Unidade</v>
          </cell>
          <cell r="E1614" t="str">
            <v>Custo Horário</v>
          </cell>
          <cell r="G1614" t="str">
            <v>Custo Horário Total</v>
          </cell>
        </row>
        <row r="1615">
          <cell r="C1615">
            <v>1</v>
          </cell>
          <cell r="D1615" t="str">
            <v>h</v>
          </cell>
          <cell r="F1615">
            <v>24.468900000000001</v>
          </cell>
          <cell r="I1615">
            <v>24.468900000000001</v>
          </cell>
        </row>
        <row r="1616">
          <cell r="C1616">
            <v>2</v>
          </cell>
          <cell r="D1616" t="str">
            <v>h</v>
          </cell>
          <cell r="F1616">
            <v>19.378599999999999</v>
          </cell>
          <cell r="I1616">
            <v>38.757199999999997</v>
          </cell>
        </row>
        <row r="1617">
          <cell r="C1617" t="str">
            <v>Custo horário total de mão de obra</v>
          </cell>
          <cell r="H1617">
            <v>63.226100000000002</v>
          </cell>
        </row>
        <row r="1618">
          <cell r="C1618" t="str">
            <v>Custo horário total de execução</v>
          </cell>
          <cell r="I1618">
            <v>71.320814561000006</v>
          </cell>
        </row>
        <row r="1619">
          <cell r="C1619" t="str">
            <v>Custo unitário de execução</v>
          </cell>
          <cell r="I1619">
            <v>14.264162912200002</v>
          </cell>
        </row>
        <row r="1620">
          <cell r="G1620" t="str">
            <v>Custo do FIC</v>
          </cell>
          <cell r="I1620" t="str">
            <v>-</v>
          </cell>
        </row>
        <row r="1621">
          <cell r="G1621" t="str">
            <v>Custo do FIT</v>
          </cell>
          <cell r="I1621" t="str">
            <v>-</v>
          </cell>
        </row>
        <row r="1622">
          <cell r="C1622" t="str">
            <v>Quantidade</v>
          </cell>
          <cell r="D1622" t="str">
            <v>Unidade</v>
          </cell>
          <cell r="E1622" t="str">
            <v>Preço Unitário</v>
          </cell>
          <cell r="G1622" t="str">
            <v>Custo Unitário</v>
          </cell>
        </row>
        <row r="1623">
          <cell r="C1623">
            <v>2.6245799999999999</v>
          </cell>
          <cell r="D1623" t="str">
            <v>kg</v>
          </cell>
          <cell r="F1623">
            <v>5.2236000000000002</v>
          </cell>
          <cell r="I1623">
            <v>13.709756088000001</v>
          </cell>
        </row>
        <row r="1624">
          <cell r="C1624">
            <v>3.3300000000000001E-3</v>
          </cell>
          <cell r="D1624" t="str">
            <v>un</v>
          </cell>
          <cell r="F1624">
            <v>222.06030000000001</v>
          </cell>
          <cell r="I1624">
            <v>0.73946079900000006</v>
          </cell>
        </row>
        <row r="1625">
          <cell r="C1625">
            <v>5.0000000000000001E-3</v>
          </cell>
          <cell r="D1625" t="str">
            <v>un</v>
          </cell>
          <cell r="F1625">
            <v>141.29150000000001</v>
          </cell>
          <cell r="I1625">
            <v>0.70645750000000007</v>
          </cell>
        </row>
        <row r="1626">
          <cell r="C1626" t="str">
            <v>Custo unitário total de material</v>
          </cell>
          <cell r="I1626">
            <v>15.155674387000001</v>
          </cell>
        </row>
        <row r="1627">
          <cell r="C1627" t="str">
            <v>Quantidade</v>
          </cell>
          <cell r="D1627" t="str">
            <v>Unidade</v>
          </cell>
          <cell r="E1627" t="str">
            <v>Custo Unitário</v>
          </cell>
          <cell r="G1627" t="str">
            <v>Custo Unitário</v>
          </cell>
        </row>
        <row r="1628">
          <cell r="C1628" t="str">
            <v>Custo total de atividades auxiliares</v>
          </cell>
        </row>
        <row r="1629">
          <cell r="G1629" t="str">
            <v>Subtotal</v>
          </cell>
        </row>
        <row r="1630">
          <cell r="C1630" t="str">
            <v>Código</v>
          </cell>
          <cell r="D1630" t="str">
            <v>Quantidade</v>
          </cell>
          <cell r="E1630" t="str">
            <v>Unidade</v>
          </cell>
          <cell r="F1630" t="str">
            <v>Custo Unitário</v>
          </cell>
          <cell r="H1630" t="str">
            <v>Custo Unitário</v>
          </cell>
        </row>
        <row r="1631">
          <cell r="C1631">
            <v>5914655</v>
          </cell>
          <cell r="D1631">
            <v>2.6199999999999999E-3</v>
          </cell>
          <cell r="E1631" t="str">
            <v>t</v>
          </cell>
          <cell r="G1631">
            <v>22.49</v>
          </cell>
          <cell r="I1631">
            <v>5.8923799999999991E-2</v>
          </cell>
        </row>
        <row r="1632">
          <cell r="C1632" t="str">
            <v>Custo unitário total de tempo fixo</v>
          </cell>
          <cell r="I1632">
            <v>5.8923799999999991E-2</v>
          </cell>
        </row>
        <row r="1633">
          <cell r="C1633" t="str">
            <v>Quantidade</v>
          </cell>
          <cell r="D1633" t="str">
            <v>Unidade</v>
          </cell>
          <cell r="E1633" t="str">
            <v>DMT</v>
          </cell>
          <cell r="I1633" t="str">
            <v>Custo Unitário</v>
          </cell>
        </row>
        <row r="1634">
          <cell r="E1634" t="str">
            <v>LN</v>
          </cell>
          <cell r="F1634" t="str">
            <v>RP</v>
          </cell>
          <cell r="G1634" t="str">
            <v>P</v>
          </cell>
        </row>
        <row r="1635">
          <cell r="C1635">
            <v>2.6199999999999999E-3</v>
          </cell>
          <cell r="D1635" t="str">
            <v>tkm</v>
          </cell>
          <cell r="E1635">
            <v>5914449</v>
          </cell>
          <cell r="F1635">
            <v>5914464</v>
          </cell>
          <cell r="G1635">
            <v>5914479</v>
          </cell>
        </row>
        <row r="1636">
          <cell r="C1636" t="str">
            <v>Custo unitário total de transporte</v>
          </cell>
          <cell r="I1636" t="str">
            <v>-</v>
          </cell>
        </row>
        <row r="1637">
          <cell r="C1637" t="str">
            <v>0307084</v>
          </cell>
          <cell r="D1637" t="str">
            <v>m</v>
          </cell>
          <cell r="E1637" t="str">
            <v>Custo unitário direto total</v>
          </cell>
          <cell r="I1637">
            <v>29.478761099200003</v>
          </cell>
        </row>
        <row r="1640">
          <cell r="I1640" t="str">
            <v>DNIT</v>
          </cell>
        </row>
        <row r="1642">
          <cell r="D1642" t="str">
            <v>Outubro/2019</v>
          </cell>
          <cell r="G1642" t="str">
            <v>Produção da equipe</v>
          </cell>
          <cell r="H1642">
            <v>1.7</v>
          </cell>
          <cell r="I1642" t="str">
            <v>m</v>
          </cell>
        </row>
        <row r="1643">
          <cell r="H1643" t="str">
            <v>Valores em reais (R$)</v>
          </cell>
        </row>
        <row r="1644">
          <cell r="C1644" t="str">
            <v>Quantidade</v>
          </cell>
          <cell r="D1644" t="str">
            <v>Utilização</v>
          </cell>
          <cell r="F1644" t="str">
            <v>Custo Horário</v>
          </cell>
          <cell r="I1644" t="str">
            <v>Custo</v>
          </cell>
        </row>
        <row r="1645">
          <cell r="D1645" t="str">
            <v>Operativa</v>
          </cell>
          <cell r="E1645" t="str">
            <v>Improdutiva</v>
          </cell>
          <cell r="F1645" t="str">
            <v>Produtivo</v>
          </cell>
          <cell r="G1645" t="str">
            <v>Improdutivo</v>
          </cell>
          <cell r="I1645" t="str">
            <v>Horário Total</v>
          </cell>
        </row>
        <row r="1646">
          <cell r="G1646" t="str">
            <v>Custo horário total de equipamentos</v>
          </cell>
        </row>
        <row r="1647">
          <cell r="C1647" t="str">
            <v>Quantidade</v>
          </cell>
          <cell r="D1647" t="str">
            <v>Unidade</v>
          </cell>
          <cell r="E1647" t="str">
            <v>Custo Horário</v>
          </cell>
          <cell r="G1647" t="str">
            <v>Custo Horário Total</v>
          </cell>
        </row>
        <row r="1648">
          <cell r="C1648">
            <v>1</v>
          </cell>
          <cell r="D1648" t="str">
            <v>h</v>
          </cell>
          <cell r="F1648">
            <v>27.550999999999998</v>
          </cell>
          <cell r="I1648">
            <v>27.550999999999998</v>
          </cell>
        </row>
        <row r="1649">
          <cell r="C1649">
            <v>1</v>
          </cell>
          <cell r="D1649" t="str">
            <v>h</v>
          </cell>
          <cell r="F1649">
            <v>19.378599999999999</v>
          </cell>
          <cell r="I1649">
            <v>19.378599999999999</v>
          </cell>
        </row>
        <row r="1650">
          <cell r="C1650" t="str">
            <v>Custo horário total de mão de obra</v>
          </cell>
          <cell r="H1650">
            <v>46.929599999999994</v>
          </cell>
        </row>
        <row r="1651">
          <cell r="C1651" t="str">
            <v>Custo horário total de execução</v>
          </cell>
          <cell r="I1651">
            <v>46.929599999999994</v>
          </cell>
        </row>
        <row r="1652">
          <cell r="C1652" t="str">
            <v>Custo unitário de execução</v>
          </cell>
          <cell r="I1652">
            <v>27.605647058823525</v>
          </cell>
        </row>
        <row r="1653">
          <cell r="G1653" t="str">
            <v>Custo do FIC</v>
          </cell>
          <cell r="I1653" t="str">
            <v>-</v>
          </cell>
        </row>
        <row r="1654">
          <cell r="G1654" t="str">
            <v>Custo do FIT</v>
          </cell>
          <cell r="I1654" t="str">
            <v>-</v>
          </cell>
        </row>
        <row r="1655">
          <cell r="C1655" t="str">
            <v>Quantidade</v>
          </cell>
          <cell r="D1655" t="str">
            <v>Unidade</v>
          </cell>
          <cell r="E1655" t="str">
            <v>Preço Unitário</v>
          </cell>
          <cell r="G1655" t="str">
            <v>Custo Unitário</v>
          </cell>
        </row>
        <row r="1656">
          <cell r="C1656">
            <v>1.248</v>
          </cell>
          <cell r="D1656" t="str">
            <v>kg</v>
          </cell>
          <cell r="F1656">
            <v>91.686899999999994</v>
          </cell>
          <cell r="I1656">
            <v>114.42525119999999</v>
          </cell>
        </row>
        <row r="1657">
          <cell r="C1657">
            <v>1</v>
          </cell>
          <cell r="D1657" t="str">
            <v>m</v>
          </cell>
          <cell r="F1657">
            <v>1082.3684000000001</v>
          </cell>
          <cell r="I1657">
            <v>1082.3684000000001</v>
          </cell>
        </row>
        <row r="1658">
          <cell r="C1658" t="str">
            <v>Custo unitário total de material</v>
          </cell>
          <cell r="I1658">
            <v>1196.7936512000001</v>
          </cell>
        </row>
        <row r="1659">
          <cell r="C1659" t="str">
            <v>Quantidade</v>
          </cell>
          <cell r="D1659" t="str">
            <v>Unidade</v>
          </cell>
          <cell r="E1659" t="str">
            <v>Custo Unitário</v>
          </cell>
          <cell r="G1659" t="str">
            <v>Custo Unitário</v>
          </cell>
        </row>
        <row r="1660">
          <cell r="C1660" t="str">
            <v>Custo total de atividades auxiliares</v>
          </cell>
        </row>
        <row r="1661">
          <cell r="G1661" t="str">
            <v>Subtotal</v>
          </cell>
        </row>
        <row r="1662">
          <cell r="C1662" t="str">
            <v>Código</v>
          </cell>
          <cell r="D1662" t="str">
            <v>Quantidade</v>
          </cell>
          <cell r="E1662" t="str">
            <v>Unidade</v>
          </cell>
          <cell r="F1662" t="str">
            <v>Custo Unitário</v>
          </cell>
          <cell r="H1662" t="str">
            <v>Custo Unitário</v>
          </cell>
        </row>
        <row r="1663">
          <cell r="C1663">
            <v>5914655</v>
          </cell>
          <cell r="D1663">
            <v>1.25E-3</v>
          </cell>
          <cell r="E1663" t="str">
            <v>t</v>
          </cell>
          <cell r="G1663">
            <v>22.49</v>
          </cell>
          <cell r="I1663">
            <v>2.8112499999999999E-2</v>
          </cell>
        </row>
        <row r="1664">
          <cell r="C1664">
            <v>5914655</v>
          </cell>
          <cell r="D1664">
            <v>2.8E-3</v>
          </cell>
          <cell r="E1664" t="str">
            <v>t</v>
          </cell>
          <cell r="G1664">
            <v>22.49</v>
          </cell>
          <cell r="I1664">
            <v>6.2972E-2</v>
          </cell>
        </row>
        <row r="1665">
          <cell r="C1665" t="str">
            <v>Custo unitário total de tempo fixo</v>
          </cell>
          <cell r="I1665">
            <v>9.1084499999999999E-2</v>
          </cell>
        </row>
        <row r="1666">
          <cell r="C1666" t="str">
            <v>Quantidade</v>
          </cell>
          <cell r="D1666" t="str">
            <v>Unidade</v>
          </cell>
          <cell r="E1666" t="str">
            <v>DMT</v>
          </cell>
          <cell r="I1666" t="str">
            <v>Custo Unitário</v>
          </cell>
        </row>
        <row r="1667">
          <cell r="E1667" t="str">
            <v>LN</v>
          </cell>
          <cell r="F1667" t="str">
            <v>RP</v>
          </cell>
          <cell r="G1667" t="str">
            <v>P</v>
          </cell>
        </row>
        <row r="1668">
          <cell r="C1668">
            <v>1.25E-3</v>
          </cell>
          <cell r="D1668" t="str">
            <v>tkm</v>
          </cell>
          <cell r="E1668">
            <v>5914449</v>
          </cell>
          <cell r="F1668">
            <v>5914464</v>
          </cell>
          <cell r="G1668">
            <v>5914479</v>
          </cell>
        </row>
        <row r="1669">
          <cell r="C1669">
            <v>2.8E-3</v>
          </cell>
          <cell r="D1669" t="str">
            <v>tkm</v>
          </cell>
          <cell r="E1669">
            <v>5914449</v>
          </cell>
          <cell r="F1669">
            <v>5914464</v>
          </cell>
          <cell r="G1669">
            <v>5914479</v>
          </cell>
        </row>
        <row r="1670">
          <cell r="C1670" t="str">
            <v>Custo unitário total de transporte</v>
          </cell>
          <cell r="I1670" t="str">
            <v>-</v>
          </cell>
        </row>
        <row r="1671">
          <cell r="C1671" t="str">
            <v>0307737</v>
          </cell>
          <cell r="D1671" t="str">
            <v>m</v>
          </cell>
          <cell r="E1671" t="str">
            <v>Custo unitário direto total</v>
          </cell>
          <cell r="I1671">
            <v>1224.4903827588237</v>
          </cell>
        </row>
        <row r="1674">
          <cell r="I1674" t="str">
            <v>DNIT</v>
          </cell>
        </row>
        <row r="1676">
          <cell r="D1676" t="str">
            <v>Outubro/2019</v>
          </cell>
          <cell r="G1676" t="str">
            <v>Produção da equipe</v>
          </cell>
          <cell r="H1676">
            <v>1</v>
          </cell>
          <cell r="I1676" t="str">
            <v>kg</v>
          </cell>
        </row>
        <row r="1677">
          <cell r="H1677" t="str">
            <v>Valores em reais (R$)</v>
          </cell>
        </row>
        <row r="1678">
          <cell r="C1678" t="str">
            <v>Quantidade</v>
          </cell>
          <cell r="D1678" t="str">
            <v>Utilização</v>
          </cell>
          <cell r="F1678" t="str">
            <v>Custo Horário</v>
          </cell>
          <cell r="I1678" t="str">
            <v>Custo</v>
          </cell>
        </row>
        <row r="1679">
          <cell r="D1679" t="str">
            <v>Operativa</v>
          </cell>
          <cell r="E1679" t="str">
            <v>Improdutiva</v>
          </cell>
          <cell r="F1679" t="str">
            <v>Produtivo</v>
          </cell>
          <cell r="G1679" t="str">
            <v>Improdutivo</v>
          </cell>
          <cell r="I1679" t="str">
            <v>Horário Total</v>
          </cell>
        </row>
        <row r="1680">
          <cell r="G1680" t="str">
            <v>Custo horário total de equipamentos</v>
          </cell>
        </row>
        <row r="1681">
          <cell r="C1681" t="str">
            <v>Quantidade</v>
          </cell>
          <cell r="D1681" t="str">
            <v>Unidade</v>
          </cell>
          <cell r="E1681" t="str">
            <v>Custo Horário</v>
          </cell>
          <cell r="G1681" t="str">
            <v>Custo Horário Total</v>
          </cell>
        </row>
        <row r="1682">
          <cell r="C1682">
            <v>0.09</v>
          </cell>
          <cell r="D1682" t="str">
            <v>h</v>
          </cell>
          <cell r="F1682">
            <v>21.672799999999999</v>
          </cell>
          <cell r="I1682">
            <v>1.9505519999999998</v>
          </cell>
        </row>
        <row r="1683">
          <cell r="C1683">
            <v>0.09</v>
          </cell>
          <cell r="D1683" t="str">
            <v>h</v>
          </cell>
          <cell r="F1683">
            <v>24.3476</v>
          </cell>
          <cell r="I1683">
            <v>2.191284</v>
          </cell>
        </row>
        <row r="1684">
          <cell r="C1684" t="str">
            <v>Custo horário total de mão de obra</v>
          </cell>
          <cell r="H1684">
            <v>4.1418359999999996</v>
          </cell>
        </row>
        <row r="1685">
          <cell r="C1685" t="str">
            <v>Custo horário total de execução</v>
          </cell>
          <cell r="I1685">
            <v>4.1418359999999996</v>
          </cell>
        </row>
        <row r="1686">
          <cell r="C1686" t="str">
            <v>Custo unitário de execução</v>
          </cell>
          <cell r="I1686">
            <v>4.1418359999999996</v>
          </cell>
        </row>
        <row r="1687">
          <cell r="G1687" t="str">
            <v>Custo do FIC</v>
          </cell>
          <cell r="I1687" t="str">
            <v>-</v>
          </cell>
        </row>
        <row r="1688">
          <cell r="G1688" t="str">
            <v>Custo do FIT</v>
          </cell>
          <cell r="I1688" t="str">
            <v>-</v>
          </cell>
        </row>
        <row r="1689">
          <cell r="C1689" t="str">
            <v>Quantidade</v>
          </cell>
          <cell r="D1689" t="str">
            <v>Unidade</v>
          </cell>
          <cell r="E1689" t="str">
            <v>Preço Unitário</v>
          </cell>
          <cell r="G1689" t="str">
            <v>Custo Unitário</v>
          </cell>
        </row>
        <row r="1690">
          <cell r="C1690">
            <v>1.1000000000000001</v>
          </cell>
          <cell r="D1690" t="str">
            <v>kg</v>
          </cell>
          <cell r="F1690">
            <v>3.5541</v>
          </cell>
          <cell r="I1690">
            <v>3.9095100000000005</v>
          </cell>
        </row>
        <row r="1691">
          <cell r="C1691">
            <v>1.4999999999999999E-2</v>
          </cell>
          <cell r="D1691" t="str">
            <v>kg</v>
          </cell>
          <cell r="F1691">
            <v>6.9904999999999999</v>
          </cell>
          <cell r="I1691">
            <v>0.10485749999999999</v>
          </cell>
        </row>
        <row r="1692">
          <cell r="C1692" t="str">
            <v>Custo unitário total de material</v>
          </cell>
          <cell r="I1692">
            <v>4.0143675000000005</v>
          </cell>
        </row>
        <row r="1693">
          <cell r="C1693" t="str">
            <v>Quantidade</v>
          </cell>
          <cell r="D1693" t="str">
            <v>Unidade</v>
          </cell>
          <cell r="E1693" t="str">
            <v>Custo Unitário</v>
          </cell>
          <cell r="G1693" t="str">
            <v>Custo Unitário</v>
          </cell>
        </row>
        <row r="1694">
          <cell r="C1694" t="str">
            <v>Custo total de atividades auxiliares</v>
          </cell>
        </row>
        <row r="1695">
          <cell r="G1695" t="str">
            <v>Subtotal</v>
          </cell>
        </row>
        <row r="1696">
          <cell r="C1696" t="str">
            <v>Código</v>
          </cell>
          <cell r="D1696" t="str">
            <v>Quantidade</v>
          </cell>
          <cell r="E1696" t="str">
            <v>Unidade</v>
          </cell>
          <cell r="F1696" t="str">
            <v>Custo Unitário</v>
          </cell>
          <cell r="H1696" t="str">
            <v>Custo Unitário</v>
          </cell>
        </row>
        <row r="1697">
          <cell r="C1697">
            <v>5914655</v>
          </cell>
          <cell r="D1697">
            <v>1.1000000000000001E-3</v>
          </cell>
          <cell r="E1697" t="str">
            <v>t</v>
          </cell>
          <cell r="G1697">
            <v>22.49</v>
          </cell>
          <cell r="I1697">
            <v>2.4739000000000001E-2</v>
          </cell>
        </row>
        <row r="1698">
          <cell r="C1698">
            <v>5914655</v>
          </cell>
          <cell r="D1698">
            <v>2.0000000000000002E-5</v>
          </cell>
          <cell r="E1698" t="str">
            <v>t</v>
          </cell>
          <cell r="G1698">
            <v>22.49</v>
          </cell>
          <cell r="I1698">
            <v>4.4979999999999998E-4</v>
          </cell>
        </row>
        <row r="1699">
          <cell r="C1699" t="str">
            <v>Custo unitário total de tempo fixo</v>
          </cell>
          <cell r="I1699">
            <v>2.5188800000000001E-2</v>
          </cell>
        </row>
        <row r="1700">
          <cell r="C1700" t="str">
            <v>Quantidade</v>
          </cell>
          <cell r="D1700" t="str">
            <v>Unidade</v>
          </cell>
          <cell r="E1700" t="str">
            <v>DMT</v>
          </cell>
          <cell r="I1700" t="str">
            <v>Custo Unitário</v>
          </cell>
        </row>
        <row r="1701">
          <cell r="E1701" t="str">
            <v>LN</v>
          </cell>
          <cell r="F1701" t="str">
            <v>RP</v>
          </cell>
          <cell r="G1701" t="str">
            <v>P</v>
          </cell>
        </row>
        <row r="1702">
          <cell r="C1702">
            <v>1.1000000000000001E-3</v>
          </cell>
          <cell r="D1702" t="str">
            <v>tkm</v>
          </cell>
          <cell r="E1702">
            <v>5914449</v>
          </cell>
          <cell r="F1702">
            <v>5914464</v>
          </cell>
          <cell r="G1702">
            <v>5914479</v>
          </cell>
        </row>
        <row r="1703">
          <cell r="C1703">
            <v>2.0000000000000002E-5</v>
          </cell>
          <cell r="D1703" t="str">
            <v>tkm</v>
          </cell>
          <cell r="E1703">
            <v>5914449</v>
          </cell>
          <cell r="F1703">
            <v>5914464</v>
          </cell>
          <cell r="G1703">
            <v>5914479</v>
          </cell>
        </row>
        <row r="1704">
          <cell r="C1704" t="str">
            <v>Custo unitário total de transporte</v>
          </cell>
          <cell r="I1704" t="str">
            <v>-</v>
          </cell>
        </row>
        <row r="1705">
          <cell r="C1705" t="str">
            <v>0407819</v>
          </cell>
          <cell r="D1705" t="str">
            <v>kg</v>
          </cell>
          <cell r="E1705" t="str">
            <v>Custo unitário direto total</v>
          </cell>
          <cell r="I1705">
            <v>8.1813922999999988</v>
          </cell>
        </row>
        <row r="1708">
          <cell r="I1708" t="str">
            <v>DNIT</v>
          </cell>
        </row>
        <row r="1710">
          <cell r="D1710" t="str">
            <v>Outubro/2019</v>
          </cell>
          <cell r="G1710" t="str">
            <v>Produção da equipe</v>
          </cell>
          <cell r="H1710">
            <v>1</v>
          </cell>
          <cell r="I1710" t="str">
            <v>kg</v>
          </cell>
        </row>
        <row r="1711">
          <cell r="H1711" t="str">
            <v>Valores em reais (R$)</v>
          </cell>
        </row>
        <row r="1712">
          <cell r="C1712" t="str">
            <v>Quantidade</v>
          </cell>
          <cell r="D1712" t="str">
            <v>Utilização</v>
          </cell>
          <cell r="F1712" t="str">
            <v>Custo Horário</v>
          </cell>
          <cell r="I1712" t="str">
            <v>Custo</v>
          </cell>
        </row>
        <row r="1713">
          <cell r="D1713" t="str">
            <v>Operativa</v>
          </cell>
          <cell r="E1713" t="str">
            <v>Improdutiva</v>
          </cell>
          <cell r="F1713" t="str">
            <v>Produtivo</v>
          </cell>
          <cell r="G1713" t="str">
            <v>Improdutivo</v>
          </cell>
          <cell r="I1713" t="str">
            <v>Horário Total</v>
          </cell>
        </row>
        <row r="1714">
          <cell r="G1714" t="str">
            <v>Custo horário total de equipamentos</v>
          </cell>
        </row>
        <row r="1715">
          <cell r="C1715" t="str">
            <v>Quantidade</v>
          </cell>
          <cell r="D1715" t="str">
            <v>Unidade</v>
          </cell>
          <cell r="E1715" t="str">
            <v>Custo Horário</v>
          </cell>
          <cell r="G1715" t="str">
            <v>Custo Horário Total</v>
          </cell>
        </row>
        <row r="1716">
          <cell r="C1716">
            <v>0.08</v>
          </cell>
          <cell r="D1716" t="str">
            <v>h</v>
          </cell>
          <cell r="F1716">
            <v>21.672799999999999</v>
          </cell>
          <cell r="I1716">
            <v>1.733824</v>
          </cell>
        </row>
        <row r="1717">
          <cell r="C1717">
            <v>0.08</v>
          </cell>
          <cell r="D1717" t="str">
            <v>h</v>
          </cell>
          <cell r="F1717">
            <v>24.3476</v>
          </cell>
          <cell r="I1717">
            <v>1.947808</v>
          </cell>
        </row>
        <row r="1718">
          <cell r="C1718" t="str">
            <v>Custo horário total de mão de obra</v>
          </cell>
          <cell r="H1718">
            <v>3.681632</v>
          </cell>
        </row>
        <row r="1719">
          <cell r="C1719" t="str">
            <v>Custo horário total de execução</v>
          </cell>
          <cell r="I1719">
            <v>3.681632</v>
          </cell>
        </row>
        <row r="1720">
          <cell r="C1720" t="str">
            <v>Custo unitário de execução</v>
          </cell>
          <cell r="I1720">
            <v>3.681632</v>
          </cell>
        </row>
        <row r="1721">
          <cell r="G1721" t="str">
            <v>Custo do FIC</v>
          </cell>
          <cell r="I1721" t="str">
            <v>-</v>
          </cell>
        </row>
        <row r="1722">
          <cell r="G1722" t="str">
            <v>Custo do FIT</v>
          </cell>
          <cell r="I1722" t="str">
            <v>-</v>
          </cell>
        </row>
        <row r="1723">
          <cell r="C1723" t="str">
            <v>Quantidade</v>
          </cell>
          <cell r="D1723" t="str">
            <v>Unidade</v>
          </cell>
          <cell r="E1723" t="str">
            <v>Preço Unitário</v>
          </cell>
          <cell r="G1723" t="str">
            <v>Custo Unitário</v>
          </cell>
        </row>
        <row r="1724">
          <cell r="C1724">
            <v>1.1000000000000001</v>
          </cell>
          <cell r="D1724" t="str">
            <v>kg</v>
          </cell>
          <cell r="F1724">
            <v>4.1853999999999996</v>
          </cell>
          <cell r="I1724">
            <v>4.6039399999999997</v>
          </cell>
        </row>
        <row r="1725">
          <cell r="C1725">
            <v>1.4999999999999999E-2</v>
          </cell>
          <cell r="D1725" t="str">
            <v>kg</v>
          </cell>
          <cell r="F1725">
            <v>6.9904999999999999</v>
          </cell>
          <cell r="I1725">
            <v>0.10485749999999999</v>
          </cell>
        </row>
        <row r="1726">
          <cell r="C1726" t="str">
            <v>Custo unitário total de material</v>
          </cell>
          <cell r="I1726">
            <v>4.7087974999999993</v>
          </cell>
        </row>
        <row r="1727">
          <cell r="C1727" t="str">
            <v>Quantidade</v>
          </cell>
          <cell r="D1727" t="str">
            <v>Unidade</v>
          </cell>
          <cell r="E1727" t="str">
            <v>Custo Unitário</v>
          </cell>
          <cell r="G1727" t="str">
            <v>Custo Unitário</v>
          </cell>
        </row>
        <row r="1728">
          <cell r="C1728" t="str">
            <v>Custo total de atividades auxiliares</v>
          </cell>
        </row>
        <row r="1729">
          <cell r="G1729" t="str">
            <v>Subtotal</v>
          </cell>
        </row>
        <row r="1730">
          <cell r="C1730" t="str">
            <v>Código</v>
          </cell>
          <cell r="D1730" t="str">
            <v>Quantidade</v>
          </cell>
          <cell r="E1730" t="str">
            <v>Unidade</v>
          </cell>
          <cell r="F1730" t="str">
            <v>Custo Unitário</v>
          </cell>
          <cell r="H1730" t="str">
            <v>Custo Unitário</v>
          </cell>
        </row>
        <row r="1731">
          <cell r="C1731">
            <v>5914655</v>
          </cell>
          <cell r="D1731">
            <v>1.1000000000000001E-3</v>
          </cell>
          <cell r="E1731" t="str">
            <v>t</v>
          </cell>
          <cell r="G1731">
            <v>22.49</v>
          </cell>
          <cell r="I1731">
            <v>2.4739000000000001E-2</v>
          </cell>
        </row>
        <row r="1732">
          <cell r="C1732">
            <v>5914655</v>
          </cell>
          <cell r="D1732">
            <v>2.0000000000000002E-5</v>
          </cell>
          <cell r="E1732" t="str">
            <v>t</v>
          </cell>
          <cell r="G1732">
            <v>22.49</v>
          </cell>
          <cell r="I1732">
            <v>4.4979999999999998E-4</v>
          </cell>
        </row>
        <row r="1733">
          <cell r="C1733" t="str">
            <v>Custo unitário total de tempo fixo</v>
          </cell>
          <cell r="I1733">
            <v>2.5188800000000001E-2</v>
          </cell>
        </row>
        <row r="1734">
          <cell r="C1734" t="str">
            <v>Quantidade</v>
          </cell>
          <cell r="D1734" t="str">
            <v>Unidade</v>
          </cell>
          <cell r="E1734" t="str">
            <v>DMT</v>
          </cell>
          <cell r="I1734" t="str">
            <v>Custo Unitário</v>
          </cell>
        </row>
        <row r="1735">
          <cell r="E1735" t="str">
            <v>LN</v>
          </cell>
          <cell r="F1735" t="str">
            <v>RP</v>
          </cell>
          <cell r="G1735" t="str">
            <v>P</v>
          </cell>
        </row>
        <row r="1736">
          <cell r="C1736">
            <v>1.1000000000000001E-3</v>
          </cell>
          <cell r="D1736" t="str">
            <v>tkm</v>
          </cell>
          <cell r="E1736">
            <v>5914449</v>
          </cell>
          <cell r="F1736">
            <v>5914464</v>
          </cell>
          <cell r="G1736">
            <v>5914479</v>
          </cell>
        </row>
        <row r="1737">
          <cell r="C1737">
            <v>2.0000000000000002E-5</v>
          </cell>
          <cell r="D1737" t="str">
            <v>tkm</v>
          </cell>
          <cell r="E1737">
            <v>5914449</v>
          </cell>
          <cell r="F1737">
            <v>5914464</v>
          </cell>
          <cell r="G1737">
            <v>5914479</v>
          </cell>
        </row>
        <row r="1738">
          <cell r="C1738" t="str">
            <v>Custo unitário total de transporte</v>
          </cell>
          <cell r="I1738" t="str">
            <v>-</v>
          </cell>
        </row>
        <row r="1739">
          <cell r="C1739" t="str">
            <v>0407820</v>
          </cell>
          <cell r="D1739" t="str">
            <v>kg</v>
          </cell>
          <cell r="E1739" t="str">
            <v>Custo unitário direto total</v>
          </cell>
          <cell r="I1739">
            <v>8.4156182999999984</v>
          </cell>
        </row>
        <row r="1742">
          <cell r="I1742" t="str">
            <v>DNIT</v>
          </cell>
        </row>
        <row r="1744">
          <cell r="D1744" t="str">
            <v>Outubro/2019</v>
          </cell>
          <cell r="G1744" t="str">
            <v>Produção da equipe</v>
          </cell>
          <cell r="H1744">
            <v>3.62</v>
          </cell>
          <cell r="I1744" t="str">
            <v>m³</v>
          </cell>
        </row>
        <row r="1745">
          <cell r="H1745" t="str">
            <v>Valores em reais (R$)</v>
          </cell>
        </row>
        <row r="1746">
          <cell r="C1746" t="str">
            <v>Quantidade</v>
          </cell>
          <cell r="D1746" t="str">
            <v>Utilização</v>
          </cell>
          <cell r="F1746" t="str">
            <v>Custo Horário</v>
          </cell>
          <cell r="I1746" t="str">
            <v>Custo</v>
          </cell>
        </row>
        <row r="1747">
          <cell r="D1747" t="str">
            <v>Operativa</v>
          </cell>
          <cell r="E1747" t="str">
            <v>Improdutiva</v>
          </cell>
          <cell r="F1747" t="str">
            <v>Produtivo</v>
          </cell>
          <cell r="G1747" t="str">
            <v>Improdutivo</v>
          </cell>
          <cell r="I1747" t="str">
            <v>Horário Total</v>
          </cell>
        </row>
        <row r="1748">
          <cell r="C1748">
            <v>1</v>
          </cell>
          <cell r="D1748">
            <v>0.13</v>
          </cell>
          <cell r="E1748">
            <v>0.87</v>
          </cell>
          <cell r="F1748">
            <v>0.95130000000000003</v>
          </cell>
          <cell r="G1748">
            <v>0.62619999999999998</v>
          </cell>
          <cell r="I1748">
            <v>0.66846300000000003</v>
          </cell>
        </row>
        <row r="1749">
          <cell r="C1749">
            <v>1</v>
          </cell>
          <cell r="D1749">
            <v>1</v>
          </cell>
          <cell r="E1749">
            <v>0</v>
          </cell>
          <cell r="F1749">
            <v>37.399700000000003</v>
          </cell>
          <cell r="G1749">
            <v>23.020399999999999</v>
          </cell>
          <cell r="I1749">
            <v>37.399700000000003</v>
          </cell>
        </row>
        <row r="1750">
          <cell r="C1750">
            <v>4</v>
          </cell>
          <cell r="D1750">
            <v>0.95</v>
          </cell>
          <cell r="E1750">
            <v>5.0000000000000044E-2</v>
          </cell>
          <cell r="F1750">
            <v>0.2954</v>
          </cell>
          <cell r="G1750">
            <v>0.19900000000000001</v>
          </cell>
          <cell r="I1750">
            <v>1.16232</v>
          </cell>
        </row>
        <row r="1751">
          <cell r="C1751">
            <v>3</v>
          </cell>
          <cell r="D1751">
            <v>0.37</v>
          </cell>
          <cell r="E1751">
            <v>0.63</v>
          </cell>
          <cell r="F1751">
            <v>0.68810000000000004</v>
          </cell>
          <cell r="G1751">
            <v>0.46350000000000002</v>
          </cell>
          <cell r="I1751">
            <v>1.6398060000000001</v>
          </cell>
        </row>
        <row r="1752">
          <cell r="G1752" t="str">
            <v>Custo horário total de equipamentos</v>
          </cell>
          <cell r="I1752">
            <v>40.870289000000007</v>
          </cell>
        </row>
        <row r="1753">
          <cell r="C1753" t="str">
            <v>Quantidade</v>
          </cell>
          <cell r="D1753" t="str">
            <v>Unidade</v>
          </cell>
          <cell r="E1753" t="str">
            <v>Custo Horário</v>
          </cell>
          <cell r="G1753" t="str">
            <v>Custo Horário Total</v>
          </cell>
        </row>
        <row r="1754">
          <cell r="C1754">
            <v>1</v>
          </cell>
          <cell r="D1754" t="str">
            <v>h</v>
          </cell>
          <cell r="F1754">
            <v>24.468900000000001</v>
          </cell>
          <cell r="I1754">
            <v>24.468900000000001</v>
          </cell>
        </row>
        <row r="1755">
          <cell r="C1755">
            <v>10</v>
          </cell>
          <cell r="D1755" t="str">
            <v>h</v>
          </cell>
          <cell r="F1755">
            <v>19.378599999999999</v>
          </cell>
          <cell r="I1755">
            <v>193.786</v>
          </cell>
        </row>
        <row r="1756">
          <cell r="C1756" t="str">
            <v>Custo horário total de mão de obra</v>
          </cell>
          <cell r="H1756">
            <v>218.25489999999999</v>
          </cell>
        </row>
        <row r="1757">
          <cell r="C1757" t="str">
            <v>Custo horário total de execução</v>
          </cell>
          <cell r="I1757">
            <v>259.12518899999998</v>
          </cell>
        </row>
        <row r="1758">
          <cell r="C1758" t="str">
            <v>Custo unitário de execução</v>
          </cell>
          <cell r="I1758">
            <v>71.581543922651932</v>
          </cell>
        </row>
        <row r="1759">
          <cell r="G1759" t="str">
            <v>Custo do FIC</v>
          </cell>
          <cell r="I1759" t="str">
            <v>-</v>
          </cell>
        </row>
        <row r="1760">
          <cell r="G1760" t="str">
            <v>Custo do FIT</v>
          </cell>
          <cell r="I1760" t="str">
            <v>-</v>
          </cell>
        </row>
        <row r="1761">
          <cell r="C1761" t="str">
            <v>Quantidade</v>
          </cell>
          <cell r="D1761" t="str">
            <v>Unidade</v>
          </cell>
          <cell r="E1761" t="str">
            <v>Preço Unitário</v>
          </cell>
          <cell r="G1761" t="str">
            <v>Custo Unitário</v>
          </cell>
        </row>
        <row r="1762">
          <cell r="C1762">
            <v>0.61585999999999996</v>
          </cell>
          <cell r="D1762" t="str">
            <v>m³</v>
          </cell>
          <cell r="F1762">
            <v>75.196700000000007</v>
          </cell>
          <cell r="I1762">
            <v>46.310639662</v>
          </cell>
        </row>
        <row r="1763">
          <cell r="C1763">
            <v>0.36753999999999998</v>
          </cell>
          <cell r="D1763" t="str">
            <v>m³</v>
          </cell>
          <cell r="F1763">
            <v>63.738799999999998</v>
          </cell>
          <cell r="I1763">
            <v>23.426558551999999</v>
          </cell>
        </row>
        <row r="1764">
          <cell r="C1764">
            <v>0.36753999999999998</v>
          </cell>
          <cell r="D1764" t="str">
            <v>m³</v>
          </cell>
          <cell r="F1764">
            <v>61.357900000000001</v>
          </cell>
          <cell r="I1764">
            <v>22.551482566000001</v>
          </cell>
        </row>
        <row r="1765">
          <cell r="C1765">
            <v>313.50229000000002</v>
          </cell>
          <cell r="D1765" t="str">
            <v>kg</v>
          </cell>
          <cell r="F1765">
            <v>0.41970000000000002</v>
          </cell>
          <cell r="I1765">
            <v>131.57691111300002</v>
          </cell>
        </row>
        <row r="1766">
          <cell r="C1766" t="str">
            <v>Custo unitário total de material</v>
          </cell>
          <cell r="I1766">
            <v>223.86559189300004</v>
          </cell>
        </row>
        <row r="1767">
          <cell r="C1767" t="str">
            <v>Quantidade</v>
          </cell>
          <cell r="D1767" t="str">
            <v>Unidade</v>
          </cell>
          <cell r="E1767" t="str">
            <v>Custo Unitário</v>
          </cell>
          <cell r="G1767" t="str">
            <v>Custo Unitário</v>
          </cell>
        </row>
        <row r="1768">
          <cell r="C1768" t="str">
            <v>Custo total de atividades auxiliares</v>
          </cell>
        </row>
        <row r="1769">
          <cell r="G1769" t="str">
            <v>Subtotal</v>
          </cell>
        </row>
        <row r="1770">
          <cell r="C1770" t="str">
            <v>Código</v>
          </cell>
          <cell r="D1770" t="str">
            <v>Quantidade</v>
          </cell>
          <cell r="E1770" t="str">
            <v>Unidade</v>
          </cell>
          <cell r="F1770" t="str">
            <v>Custo Unitário</v>
          </cell>
          <cell r="H1770" t="str">
            <v>Custo Unitário</v>
          </cell>
        </row>
        <row r="1771">
          <cell r="C1771">
            <v>5914647</v>
          </cell>
          <cell r="D1771">
            <v>0.92379</v>
          </cell>
          <cell r="E1771" t="str">
            <v>t</v>
          </cell>
          <cell r="G1771">
            <v>0.93</v>
          </cell>
          <cell r="I1771">
            <v>0.85912470000000007</v>
          </cell>
        </row>
        <row r="1772">
          <cell r="C1772">
            <v>5914647</v>
          </cell>
          <cell r="D1772">
            <v>0.55130999999999997</v>
          </cell>
          <cell r="E1772" t="str">
            <v>t</v>
          </cell>
          <cell r="G1772">
            <v>0.93</v>
          </cell>
          <cell r="I1772">
            <v>0.51271829999999996</v>
          </cell>
        </row>
        <row r="1773">
          <cell r="C1773">
            <v>5914647</v>
          </cell>
          <cell r="D1773">
            <v>0.55130999999999997</v>
          </cell>
          <cell r="E1773" t="str">
            <v>t</v>
          </cell>
          <cell r="G1773">
            <v>0.93</v>
          </cell>
          <cell r="I1773">
            <v>0.51271829999999996</v>
          </cell>
        </row>
        <row r="1774">
          <cell r="C1774">
            <v>5914655</v>
          </cell>
          <cell r="D1774">
            <v>0.3135</v>
          </cell>
          <cell r="E1774" t="str">
            <v>t</v>
          </cell>
          <cell r="G1774">
            <v>22.49</v>
          </cell>
          <cell r="I1774">
            <v>7.0506149999999996</v>
          </cell>
        </row>
        <row r="1775">
          <cell r="C1775" t="str">
            <v>Custo unitário total de tempo fixo</v>
          </cell>
          <cell r="I1775">
            <v>8.9351763000000002</v>
          </cell>
        </row>
        <row r="1776">
          <cell r="C1776" t="str">
            <v>Quantidade</v>
          </cell>
          <cell r="D1776" t="str">
            <v>Unidade</v>
          </cell>
          <cell r="E1776" t="str">
            <v>DMT</v>
          </cell>
          <cell r="I1776" t="str">
            <v>Custo Unitário</v>
          </cell>
        </row>
        <row r="1777">
          <cell r="E1777" t="str">
            <v>LN</v>
          </cell>
          <cell r="F1777" t="str">
            <v>RP</v>
          </cell>
          <cell r="G1777" t="str">
            <v>P</v>
          </cell>
        </row>
        <row r="1778">
          <cell r="C1778">
            <v>0.92379</v>
          </cell>
          <cell r="D1778" t="str">
            <v>tkm</v>
          </cell>
          <cell r="E1778">
            <v>5914359</v>
          </cell>
          <cell r="F1778">
            <v>5914374</v>
          </cell>
          <cell r="G1778">
            <v>5914389</v>
          </cell>
        </row>
        <row r="1779">
          <cell r="C1779">
            <v>0.55130999999999997</v>
          </cell>
          <cell r="D1779" t="str">
            <v>tkm</v>
          </cell>
          <cell r="E1779">
            <v>5914359</v>
          </cell>
          <cell r="F1779">
            <v>5914374</v>
          </cell>
          <cell r="G1779">
            <v>5914389</v>
          </cell>
        </row>
        <row r="1780">
          <cell r="C1780">
            <v>0.55130999999999997</v>
          </cell>
          <cell r="D1780" t="str">
            <v>tkm</v>
          </cell>
          <cell r="E1780">
            <v>5914359</v>
          </cell>
          <cell r="F1780">
            <v>5914374</v>
          </cell>
          <cell r="G1780">
            <v>5914389</v>
          </cell>
        </row>
        <row r="1781">
          <cell r="C1781">
            <v>0.3135</v>
          </cell>
          <cell r="D1781" t="str">
            <v>tkm</v>
          </cell>
          <cell r="E1781">
            <v>5914449</v>
          </cell>
          <cell r="F1781">
            <v>5914464</v>
          </cell>
          <cell r="G1781">
            <v>5914479</v>
          </cell>
        </row>
        <row r="1782">
          <cell r="C1782" t="str">
            <v>Custo unitário total de transporte</v>
          </cell>
          <cell r="I1782" t="str">
            <v>-</v>
          </cell>
        </row>
        <row r="1783">
          <cell r="C1783">
            <v>1107892</v>
          </cell>
          <cell r="D1783" t="str">
            <v>m³</v>
          </cell>
          <cell r="E1783" t="str">
            <v>Custo unitário direto total</v>
          </cell>
          <cell r="I1783">
            <v>304.38231211565198</v>
          </cell>
        </row>
        <row r="1786">
          <cell r="I1786" t="str">
            <v>DNIT</v>
          </cell>
        </row>
        <row r="1788">
          <cell r="D1788" t="str">
            <v>Outubro/2019</v>
          </cell>
          <cell r="G1788" t="str">
            <v>Produção da equipe</v>
          </cell>
          <cell r="H1788">
            <v>2.23</v>
          </cell>
          <cell r="I1788" t="str">
            <v>m³</v>
          </cell>
        </row>
        <row r="1789">
          <cell r="H1789" t="str">
            <v>Valores em reais (R$)</v>
          </cell>
        </row>
        <row r="1790">
          <cell r="C1790" t="str">
            <v>Quantidade</v>
          </cell>
          <cell r="D1790" t="str">
            <v>Utilização</v>
          </cell>
          <cell r="F1790" t="str">
            <v>Custo Horário</v>
          </cell>
          <cell r="I1790" t="str">
            <v>Custo</v>
          </cell>
        </row>
        <row r="1791">
          <cell r="D1791" t="str">
            <v>Operativa</v>
          </cell>
          <cell r="E1791" t="str">
            <v>Improdutiva</v>
          </cell>
          <cell r="F1791" t="str">
            <v>Produtivo</v>
          </cell>
          <cell r="G1791" t="str">
            <v>Improdutivo</v>
          </cell>
          <cell r="I1791" t="str">
            <v>Horário Total</v>
          </cell>
        </row>
        <row r="1792">
          <cell r="C1792">
            <v>1</v>
          </cell>
          <cell r="D1792">
            <v>0.08</v>
          </cell>
          <cell r="E1792">
            <v>0.92</v>
          </cell>
          <cell r="F1792">
            <v>0.95130000000000003</v>
          </cell>
          <cell r="G1792">
            <v>0.62619999999999998</v>
          </cell>
          <cell r="I1792">
            <v>0.65220800000000012</v>
          </cell>
        </row>
        <row r="1793">
          <cell r="C1793">
            <v>1</v>
          </cell>
          <cell r="D1793">
            <v>0.62</v>
          </cell>
          <cell r="E1793">
            <v>0.38</v>
          </cell>
          <cell r="F1793">
            <v>37.399700000000003</v>
          </cell>
          <cell r="G1793">
            <v>23.020399999999999</v>
          </cell>
          <cell r="I1793">
            <v>31.935566000000001</v>
          </cell>
        </row>
        <row r="1794">
          <cell r="C1794">
            <v>1</v>
          </cell>
          <cell r="D1794">
            <v>1</v>
          </cell>
          <cell r="E1794">
            <v>0</v>
          </cell>
          <cell r="F1794">
            <v>2.7195999999999998</v>
          </cell>
          <cell r="G1794">
            <v>1.6277999999999999</v>
          </cell>
          <cell r="I1794">
            <v>2.7195999999999998</v>
          </cell>
        </row>
        <row r="1795">
          <cell r="C1795">
            <v>1</v>
          </cell>
          <cell r="D1795">
            <v>1</v>
          </cell>
          <cell r="E1795">
            <v>0</v>
          </cell>
          <cell r="F1795">
            <v>9.3177000000000003</v>
          </cell>
          <cell r="G1795">
            <v>1.6355</v>
          </cell>
          <cell r="I1795">
            <v>9.3177000000000003</v>
          </cell>
        </row>
        <row r="1796">
          <cell r="C1796">
            <v>1</v>
          </cell>
          <cell r="D1796">
            <v>1</v>
          </cell>
          <cell r="E1796">
            <v>0</v>
          </cell>
          <cell r="F1796">
            <v>0.18179999999999999</v>
          </cell>
          <cell r="G1796">
            <v>0.1201</v>
          </cell>
          <cell r="I1796">
            <v>0.18179999999999999</v>
          </cell>
        </row>
        <row r="1797">
          <cell r="C1797">
            <v>3</v>
          </cell>
          <cell r="D1797">
            <v>0.93</v>
          </cell>
          <cell r="E1797">
            <v>6.9999999999999951E-2</v>
          </cell>
          <cell r="F1797">
            <v>0.2954</v>
          </cell>
          <cell r="G1797">
            <v>0.19900000000000001</v>
          </cell>
          <cell r="I1797">
            <v>0.86595600000000006</v>
          </cell>
        </row>
        <row r="1798">
          <cell r="C1798">
            <v>1</v>
          </cell>
          <cell r="D1798">
            <v>0.69</v>
          </cell>
          <cell r="E1798">
            <v>0.31000000000000005</v>
          </cell>
          <cell r="F1798">
            <v>0.68810000000000004</v>
          </cell>
          <cell r="G1798">
            <v>0.46350000000000002</v>
          </cell>
          <cell r="I1798">
            <v>0.61847400000000008</v>
          </cell>
        </row>
        <row r="1799">
          <cell r="G1799" t="str">
            <v>Custo horário total de equipamentos</v>
          </cell>
          <cell r="I1799">
            <v>46.291304000000004</v>
          </cell>
        </row>
        <row r="1800">
          <cell r="C1800" t="str">
            <v>Quantidade</v>
          </cell>
          <cell r="D1800" t="str">
            <v>Unidade</v>
          </cell>
          <cell r="E1800" t="str">
            <v>Custo Horário</v>
          </cell>
          <cell r="G1800" t="str">
            <v>Custo Horário Total</v>
          </cell>
        </row>
        <row r="1801">
          <cell r="C1801">
            <v>1</v>
          </cell>
          <cell r="D1801" t="str">
            <v>h</v>
          </cell>
          <cell r="F1801">
            <v>24.468900000000001</v>
          </cell>
          <cell r="I1801">
            <v>24.468900000000001</v>
          </cell>
        </row>
        <row r="1802">
          <cell r="C1802">
            <v>8</v>
          </cell>
          <cell r="D1802" t="str">
            <v>h</v>
          </cell>
          <cell r="F1802">
            <v>19.378599999999999</v>
          </cell>
          <cell r="I1802">
            <v>155.02879999999999</v>
          </cell>
        </row>
        <row r="1803">
          <cell r="C1803" t="str">
            <v>Custo horário total de mão de obra</v>
          </cell>
          <cell r="H1803">
            <v>179.49769999999998</v>
          </cell>
        </row>
        <row r="1804">
          <cell r="C1804" t="str">
            <v>Custo horário total de execução</v>
          </cell>
          <cell r="I1804">
            <v>225.78900399999998</v>
          </cell>
        </row>
        <row r="1805">
          <cell r="C1805" t="str">
            <v>Custo unitário de execução</v>
          </cell>
          <cell r="I1805">
            <v>101.25067443946187</v>
          </cell>
        </row>
        <row r="1806">
          <cell r="G1806" t="str">
            <v>Custo do FIC</v>
          </cell>
          <cell r="I1806" t="str">
            <v>-</v>
          </cell>
        </row>
        <row r="1807">
          <cell r="G1807" t="str">
            <v>Custo do FIT</v>
          </cell>
          <cell r="I1807" t="str">
            <v>-</v>
          </cell>
        </row>
        <row r="1808">
          <cell r="C1808" t="str">
            <v>Quantidade</v>
          </cell>
          <cell r="D1808" t="str">
            <v>Unidade</v>
          </cell>
          <cell r="E1808" t="str">
            <v>Preço Unitário</v>
          </cell>
          <cell r="G1808" t="str">
            <v>Custo Unitário</v>
          </cell>
        </row>
        <row r="1809">
          <cell r="C1809">
            <v>0.61487999999999998</v>
          </cell>
          <cell r="D1809" t="str">
            <v>m³</v>
          </cell>
          <cell r="F1809">
            <v>75.196700000000007</v>
          </cell>
          <cell r="I1809">
            <v>46.236946896000006</v>
          </cell>
        </row>
        <row r="1810">
          <cell r="C1810">
            <v>0.34405999999999998</v>
          </cell>
          <cell r="D1810" t="str">
            <v>m³</v>
          </cell>
          <cell r="F1810">
            <v>63.738799999999998</v>
          </cell>
          <cell r="I1810">
            <v>21.929971527999999</v>
          </cell>
        </row>
        <row r="1811">
          <cell r="C1811">
            <v>0.34406999999999999</v>
          </cell>
          <cell r="D1811" t="str">
            <v>m³</v>
          </cell>
          <cell r="F1811">
            <v>61.357900000000001</v>
          </cell>
          <cell r="I1811">
            <v>21.111412652999999</v>
          </cell>
        </row>
        <row r="1812">
          <cell r="C1812">
            <v>366.92977000000002</v>
          </cell>
          <cell r="D1812" t="str">
            <v>kg</v>
          </cell>
          <cell r="F1812">
            <v>0.41970000000000002</v>
          </cell>
          <cell r="I1812">
            <v>154.00042446900002</v>
          </cell>
        </row>
        <row r="1813">
          <cell r="C1813" t="str">
            <v>Custo unitário total de material</v>
          </cell>
          <cell r="I1813">
            <v>243.27875554600001</v>
          </cell>
        </row>
        <row r="1814">
          <cell r="C1814" t="str">
            <v>Quantidade</v>
          </cell>
          <cell r="D1814" t="str">
            <v>Unidade</v>
          </cell>
          <cell r="E1814" t="str">
            <v>Custo Unitário</v>
          </cell>
          <cell r="G1814" t="str">
            <v>Custo Unitário</v>
          </cell>
        </row>
        <row r="1815">
          <cell r="C1815" t="str">
            <v>Custo total de atividades auxiliares</v>
          </cell>
        </row>
        <row r="1816">
          <cell r="G1816" t="str">
            <v>Subtotal</v>
          </cell>
        </row>
        <row r="1817">
          <cell r="C1817" t="str">
            <v>Código</v>
          </cell>
          <cell r="D1817" t="str">
            <v>Quantidade</v>
          </cell>
          <cell r="E1817" t="str">
            <v>Unidade</v>
          </cell>
          <cell r="F1817" t="str">
            <v>Custo Unitário</v>
          </cell>
          <cell r="H1817" t="str">
            <v>Custo Unitário</v>
          </cell>
        </row>
        <row r="1818">
          <cell r="C1818">
            <v>5914647</v>
          </cell>
          <cell r="D1818">
            <v>0.92232000000000003</v>
          </cell>
          <cell r="E1818" t="str">
            <v>t</v>
          </cell>
          <cell r="G1818">
            <v>0.93</v>
          </cell>
          <cell r="I1818">
            <v>0.85775760000000012</v>
          </cell>
        </row>
        <row r="1819">
          <cell r="C1819">
            <v>5914647</v>
          </cell>
          <cell r="D1819">
            <v>0.51609000000000005</v>
          </cell>
          <cell r="E1819" t="str">
            <v>t</v>
          </cell>
          <cell r="G1819">
            <v>0.93</v>
          </cell>
          <cell r="I1819">
            <v>0.47996370000000005</v>
          </cell>
        </row>
        <row r="1820">
          <cell r="C1820">
            <v>5914647</v>
          </cell>
          <cell r="D1820">
            <v>0.51610999999999996</v>
          </cell>
          <cell r="E1820" t="str">
            <v>t</v>
          </cell>
          <cell r="G1820">
            <v>0.93</v>
          </cell>
          <cell r="I1820">
            <v>0.47998229999999997</v>
          </cell>
        </row>
        <row r="1821">
          <cell r="C1821">
            <v>5914655</v>
          </cell>
          <cell r="D1821">
            <v>0.36692999999999998</v>
          </cell>
          <cell r="E1821" t="str">
            <v>t</v>
          </cell>
          <cell r="G1821">
            <v>22.49</v>
          </cell>
          <cell r="I1821">
            <v>8.2522556999999992</v>
          </cell>
        </row>
        <row r="1822">
          <cell r="C1822" t="str">
            <v>Custo unitário total de tempo fixo</v>
          </cell>
          <cell r="I1822">
            <v>10.069959299999999</v>
          </cell>
        </row>
        <row r="1823">
          <cell r="C1823" t="str">
            <v>Quantidade</v>
          </cell>
          <cell r="D1823" t="str">
            <v>Unidade</v>
          </cell>
          <cell r="E1823" t="str">
            <v>DMT</v>
          </cell>
          <cell r="I1823" t="str">
            <v>Custo Unitário</v>
          </cell>
        </row>
        <row r="1824">
          <cell r="E1824" t="str">
            <v>LN</v>
          </cell>
          <cell r="F1824" t="str">
            <v>RP</v>
          </cell>
          <cell r="G1824" t="str">
            <v>P</v>
          </cell>
        </row>
        <row r="1825">
          <cell r="C1825">
            <v>0.92232000000000003</v>
          </cell>
          <cell r="D1825" t="str">
            <v>tkm</v>
          </cell>
          <cell r="E1825">
            <v>5914359</v>
          </cell>
          <cell r="F1825">
            <v>5914374</v>
          </cell>
          <cell r="G1825">
            <v>5914389</v>
          </cell>
        </row>
        <row r="1826">
          <cell r="C1826">
            <v>0.51609000000000005</v>
          </cell>
          <cell r="D1826" t="str">
            <v>tkm</v>
          </cell>
          <cell r="E1826">
            <v>5914359</v>
          </cell>
          <cell r="F1826">
            <v>5914374</v>
          </cell>
          <cell r="G1826">
            <v>5914389</v>
          </cell>
        </row>
        <row r="1827">
          <cell r="C1827">
            <v>0.51610999999999996</v>
          </cell>
          <cell r="D1827" t="str">
            <v>tkm</v>
          </cell>
          <cell r="E1827">
            <v>5914359</v>
          </cell>
          <cell r="F1827">
            <v>5914374</v>
          </cell>
          <cell r="G1827">
            <v>5914389</v>
          </cell>
        </row>
        <row r="1828">
          <cell r="C1828">
            <v>0.36692999999999998</v>
          </cell>
          <cell r="D1828" t="str">
            <v>tkm</v>
          </cell>
          <cell r="E1828">
            <v>5914449</v>
          </cell>
          <cell r="F1828">
            <v>5914464</v>
          </cell>
          <cell r="G1828">
            <v>5914479</v>
          </cell>
        </row>
        <row r="1829">
          <cell r="C1829" t="str">
            <v>Custo unitário total de transporte</v>
          </cell>
          <cell r="I1829" t="str">
            <v>-</v>
          </cell>
        </row>
        <row r="1830">
          <cell r="C1830">
            <v>1116127</v>
          </cell>
          <cell r="D1830" t="str">
            <v>m³</v>
          </cell>
          <cell r="E1830" t="str">
            <v>Custo unitário direto total</v>
          </cell>
          <cell r="I1830">
            <v>354.59938928546188</v>
          </cell>
        </row>
        <row r="1833">
          <cell r="I1833" t="str">
            <v>DNIT</v>
          </cell>
        </row>
        <row r="1835">
          <cell r="D1835" t="str">
            <v>Outubro/2019</v>
          </cell>
          <cell r="G1835" t="str">
            <v>Produção da equipe</v>
          </cell>
          <cell r="H1835">
            <v>3</v>
          </cell>
          <cell r="I1835" t="str">
            <v>km</v>
          </cell>
        </row>
        <row r="1836">
          <cell r="H1836" t="str">
            <v>Valores em reais (R$)</v>
          </cell>
        </row>
        <row r="1837">
          <cell r="C1837" t="str">
            <v>Quantidade</v>
          </cell>
          <cell r="D1837" t="str">
            <v>Utilização</v>
          </cell>
          <cell r="F1837" t="str">
            <v>Custo Horário</v>
          </cell>
          <cell r="I1837" t="str">
            <v>Custo</v>
          </cell>
        </row>
        <row r="1838">
          <cell r="D1838" t="str">
            <v>Operativa</v>
          </cell>
          <cell r="E1838" t="str">
            <v>Improdutiva</v>
          </cell>
          <cell r="F1838" t="str">
            <v>Produtivo</v>
          </cell>
          <cell r="G1838" t="str">
            <v>Improdutivo</v>
          </cell>
          <cell r="I1838" t="str">
            <v>Horário Total</v>
          </cell>
        </row>
        <row r="1839">
          <cell r="C1839">
            <v>1</v>
          </cell>
          <cell r="D1839">
            <v>1</v>
          </cell>
          <cell r="E1839">
            <v>0</v>
          </cell>
          <cell r="F1839">
            <v>121.24679999999999</v>
          </cell>
          <cell r="G1839">
            <v>33.347200000000001</v>
          </cell>
          <cell r="I1839">
            <v>121.24679999999999</v>
          </cell>
        </row>
        <row r="1840">
          <cell r="C1840">
            <v>1</v>
          </cell>
          <cell r="D1840">
            <v>1</v>
          </cell>
          <cell r="E1840">
            <v>0</v>
          </cell>
          <cell r="F1840">
            <v>5.6055999999999999</v>
          </cell>
          <cell r="G1840">
            <v>3.4962</v>
          </cell>
          <cell r="I1840">
            <v>5.6055999999999999</v>
          </cell>
        </row>
        <row r="1841">
          <cell r="G1841" t="str">
            <v>Custo horário total de equipamentos</v>
          </cell>
          <cell r="I1841">
            <v>126.85239999999999</v>
          </cell>
        </row>
        <row r="1842">
          <cell r="C1842" t="str">
            <v>Quantidade</v>
          </cell>
          <cell r="D1842" t="str">
            <v>Unidade</v>
          </cell>
          <cell r="E1842" t="str">
            <v>Custo Horário</v>
          </cell>
          <cell r="G1842" t="str">
            <v>Custo Horário Total</v>
          </cell>
        </row>
        <row r="1843">
          <cell r="D1843" t="str">
            <v>h</v>
          </cell>
          <cell r="F1843">
            <v>19.378599999999999</v>
          </cell>
          <cell r="I1843">
            <v>0</v>
          </cell>
        </row>
        <row r="1844">
          <cell r="C1844" t="str">
            <v>Custo horário total de mão de obra</v>
          </cell>
          <cell r="H1844">
            <v>0</v>
          </cell>
        </row>
        <row r="1845">
          <cell r="C1845" t="str">
            <v>Custo horário total de execução</v>
          </cell>
          <cell r="I1845">
            <v>126.85239999999999</v>
          </cell>
        </row>
        <row r="1846">
          <cell r="C1846" t="str">
            <v>Custo unitário de execução</v>
          </cell>
          <cell r="I1846">
            <v>42.28413333333333</v>
          </cell>
        </row>
        <row r="1847">
          <cell r="G1847" t="str">
            <v>Custo do FIC</v>
          </cell>
          <cell r="I1847" t="str">
            <v>-</v>
          </cell>
        </row>
        <row r="1848">
          <cell r="G1848" t="str">
            <v>Custo do FIT</v>
          </cell>
          <cell r="I1848" t="str">
            <v>-</v>
          </cell>
        </row>
        <row r="1849">
          <cell r="C1849" t="str">
            <v>Quantidade</v>
          </cell>
          <cell r="D1849" t="str">
            <v>Unidade</v>
          </cell>
          <cell r="E1849" t="str">
            <v>Preço Unitário</v>
          </cell>
          <cell r="G1849" t="str">
            <v>Custo Unitário</v>
          </cell>
        </row>
        <row r="1850">
          <cell r="C1850">
            <v>1</v>
          </cell>
          <cell r="D1850" t="str">
            <v>t</v>
          </cell>
          <cell r="F1850">
            <v>0</v>
          </cell>
          <cell r="I1850">
            <v>0</v>
          </cell>
        </row>
        <row r="1851">
          <cell r="C1851" t="str">
            <v>Custo unitário total de material</v>
          </cell>
          <cell r="I1851">
            <v>0</v>
          </cell>
        </row>
        <row r="1852">
          <cell r="C1852" t="str">
            <v>Quantidade</v>
          </cell>
          <cell r="D1852" t="str">
            <v>Unidade</v>
          </cell>
          <cell r="E1852" t="str">
            <v>Custo Unitário</v>
          </cell>
          <cell r="G1852" t="str">
            <v>Custo Unitário</v>
          </cell>
        </row>
        <row r="1853">
          <cell r="C1853" t="str">
            <v>Custo total de atividades auxiliares</v>
          </cell>
        </row>
        <row r="1854">
          <cell r="G1854" t="str">
            <v>Subtotal</v>
          </cell>
        </row>
        <row r="1855">
          <cell r="C1855" t="str">
            <v>Código</v>
          </cell>
          <cell r="D1855" t="str">
            <v>Quantidade</v>
          </cell>
          <cell r="E1855" t="str">
            <v>Unidade</v>
          </cell>
          <cell r="F1855" t="str">
            <v>Custo Unitário</v>
          </cell>
          <cell r="H1855" t="str">
            <v>Custo Unitário</v>
          </cell>
        </row>
        <row r="1856">
          <cell r="C1856" t="str">
            <v>Custo unitário total de tempo fixo</v>
          </cell>
        </row>
        <row r="1857">
          <cell r="C1857" t="str">
            <v>Quantidade</v>
          </cell>
          <cell r="D1857" t="str">
            <v>Unidade</v>
          </cell>
          <cell r="E1857" t="str">
            <v>DMT</v>
          </cell>
          <cell r="I1857" t="str">
            <v>Custo Unitário</v>
          </cell>
        </row>
        <row r="1858">
          <cell r="E1858" t="str">
            <v>LN</v>
          </cell>
          <cell r="F1858" t="str">
            <v>RP</v>
          </cell>
          <cell r="G1858" t="str">
            <v>P</v>
          </cell>
        </row>
        <row r="1859">
          <cell r="C1859">
            <v>1</v>
          </cell>
          <cell r="D1859" t="str">
            <v>tkm</v>
          </cell>
          <cell r="E1859">
            <v>5914314</v>
          </cell>
          <cell r="F1859">
            <v>5914329</v>
          </cell>
          <cell r="G1859">
            <v>5914344</v>
          </cell>
        </row>
        <row r="1860">
          <cell r="C1860" t="str">
            <v>Custo unitário total de transporte</v>
          </cell>
          <cell r="I1860" t="str">
            <v>-</v>
          </cell>
        </row>
        <row r="1861">
          <cell r="C1861" t="str">
            <v>CPU01</v>
          </cell>
          <cell r="D1861" t="str">
            <v>km</v>
          </cell>
          <cell r="E1861" t="str">
            <v>Custo unitário direto total</v>
          </cell>
          <cell r="I1861">
            <v>42.28413333333333</v>
          </cell>
        </row>
        <row r="1864">
          <cell r="I1864" t="str">
            <v>DNIT</v>
          </cell>
        </row>
        <row r="1866">
          <cell r="D1866" t="str">
            <v>Outubro/2019</v>
          </cell>
          <cell r="G1866" t="str">
            <v>Produção da equipe</v>
          </cell>
          <cell r="H1866">
            <v>1</v>
          </cell>
          <cell r="I1866" t="str">
            <v>mês</v>
          </cell>
        </row>
        <row r="1867">
          <cell r="H1867" t="str">
            <v>Valores em reais (R$)</v>
          </cell>
        </row>
        <row r="1868">
          <cell r="C1868" t="str">
            <v>Quantidade</v>
          </cell>
          <cell r="D1868" t="str">
            <v>Utilização</v>
          </cell>
          <cell r="F1868" t="str">
            <v>Custo Horário</v>
          </cell>
          <cell r="I1868" t="str">
            <v>Custo</v>
          </cell>
        </row>
        <row r="1869">
          <cell r="D1869" t="str">
            <v>Operativa</v>
          </cell>
          <cell r="E1869" t="str">
            <v>Improdutiva</v>
          </cell>
          <cell r="F1869" t="str">
            <v>Produtivo</v>
          </cell>
          <cell r="G1869" t="str">
            <v>Improdutivo</v>
          </cell>
          <cell r="I1869" t="str">
            <v>Horário Total</v>
          </cell>
        </row>
        <row r="1870">
          <cell r="C1870">
            <v>30</v>
          </cell>
          <cell r="D1870">
            <v>1</v>
          </cell>
          <cell r="E1870">
            <v>0</v>
          </cell>
          <cell r="F1870">
            <v>151.76990000000001</v>
          </cell>
          <cell r="G1870">
            <v>45.386600000000001</v>
          </cell>
          <cell r="I1870">
            <v>4553.0969999999998</v>
          </cell>
        </row>
        <row r="1871">
          <cell r="G1871" t="str">
            <v>Custo horário total de equipamentos</v>
          </cell>
          <cell r="I1871">
            <v>4553.0969999999998</v>
          </cell>
        </row>
        <row r="1872">
          <cell r="C1872" t="str">
            <v>Quantidade</v>
          </cell>
          <cell r="D1872" t="str">
            <v>Unidade</v>
          </cell>
          <cell r="E1872" t="str">
            <v>Custo Horário</v>
          </cell>
          <cell r="G1872" t="str">
            <v>Custo Horário Total</v>
          </cell>
        </row>
        <row r="1873">
          <cell r="C1873">
            <v>4</v>
          </cell>
          <cell r="D1873" t="str">
            <v>mês</v>
          </cell>
          <cell r="F1873">
            <v>3585.4960000000001</v>
          </cell>
          <cell r="I1873">
            <v>14341.984</v>
          </cell>
        </row>
        <row r="1874">
          <cell r="C1874" t="str">
            <v>Custo horário total de mão de obra</v>
          </cell>
          <cell r="H1874">
            <v>14341.984</v>
          </cell>
        </row>
        <row r="1875">
          <cell r="C1875" t="str">
            <v>Custo horário total de execução</v>
          </cell>
          <cell r="I1875">
            <v>18895.080999999998</v>
          </cell>
        </row>
        <row r="1876">
          <cell r="C1876" t="str">
            <v>Custo unitário de execução</v>
          </cell>
          <cell r="I1876">
            <v>18895.080999999998</v>
          </cell>
        </row>
        <row r="1877">
          <cell r="G1877" t="str">
            <v>Custo do FIC</v>
          </cell>
          <cell r="I1877" t="str">
            <v>-</v>
          </cell>
        </row>
        <row r="1878">
          <cell r="G1878" t="str">
            <v>Custo do FIT</v>
          </cell>
          <cell r="I1878" t="str">
            <v>-</v>
          </cell>
        </row>
        <row r="1879">
          <cell r="C1879" t="str">
            <v>Quantidade</v>
          </cell>
          <cell r="D1879" t="str">
            <v>Unidade</v>
          </cell>
          <cell r="E1879" t="str">
            <v>Preço Unitário</v>
          </cell>
          <cell r="G1879" t="str">
            <v>Custo Unitário</v>
          </cell>
        </row>
        <row r="1880">
          <cell r="C1880">
            <v>1</v>
          </cell>
          <cell r="D1880" t="str">
            <v>t</v>
          </cell>
          <cell r="F1880">
            <v>0</v>
          </cell>
          <cell r="I1880">
            <v>0</v>
          </cell>
        </row>
        <row r="1881">
          <cell r="C1881" t="str">
            <v>Custo unitário total de material</v>
          </cell>
          <cell r="I1881">
            <v>0</v>
          </cell>
        </row>
        <row r="1882">
          <cell r="C1882" t="str">
            <v>Quantidade</v>
          </cell>
          <cell r="D1882" t="str">
            <v>Unidade</v>
          </cell>
          <cell r="E1882" t="str">
            <v>Custo Unitário</v>
          </cell>
          <cell r="G1882" t="str">
            <v>Custo Unitário</v>
          </cell>
        </row>
        <row r="1883">
          <cell r="C1883" t="str">
            <v>Custo total de atividades auxiliares</v>
          </cell>
        </row>
        <row r="1884">
          <cell r="G1884" t="str">
            <v>Subtotal</v>
          </cell>
        </row>
        <row r="1885">
          <cell r="C1885" t="str">
            <v>Código</v>
          </cell>
          <cell r="D1885" t="str">
            <v>Quantidade</v>
          </cell>
          <cell r="E1885" t="str">
            <v>Unidade</v>
          </cell>
          <cell r="F1885" t="str">
            <v>Custo Unitário</v>
          </cell>
          <cell r="H1885" t="str">
            <v>Custo Unitário</v>
          </cell>
        </row>
        <row r="1886">
          <cell r="C1886" t="str">
            <v>Custo unitário total de tempo fixo</v>
          </cell>
        </row>
        <row r="1887">
          <cell r="C1887" t="str">
            <v>Quantidade</v>
          </cell>
          <cell r="D1887" t="str">
            <v>Unidade</v>
          </cell>
          <cell r="E1887" t="str">
            <v>DMT</v>
          </cell>
          <cell r="I1887" t="str">
            <v>Custo Unitário</v>
          </cell>
        </row>
        <row r="1888">
          <cell r="E1888" t="str">
            <v>LN</v>
          </cell>
          <cell r="F1888" t="str">
            <v>RP</v>
          </cell>
          <cell r="G1888" t="str">
            <v>P</v>
          </cell>
        </row>
        <row r="1889">
          <cell r="C1889">
            <v>1</v>
          </cell>
          <cell r="D1889" t="str">
            <v>tkm</v>
          </cell>
          <cell r="E1889">
            <v>5914314</v>
          </cell>
          <cell r="F1889">
            <v>5914329</v>
          </cell>
          <cell r="G1889">
            <v>5914344</v>
          </cell>
        </row>
        <row r="1890">
          <cell r="C1890" t="str">
            <v>Custo unitário total de transporte</v>
          </cell>
          <cell r="I1890" t="str">
            <v>-</v>
          </cell>
        </row>
        <row r="1891">
          <cell r="C1891" t="str">
            <v>CPU02</v>
          </cell>
          <cell r="D1891" t="str">
            <v>mês</v>
          </cell>
          <cell r="E1891" t="str">
            <v>Custo unitário direto total</v>
          </cell>
          <cell r="I1891">
            <v>18895.080999999998</v>
          </cell>
        </row>
        <row r="1894">
          <cell r="I1894" t="str">
            <v>DNIT</v>
          </cell>
        </row>
        <row r="1896">
          <cell r="D1896" t="str">
            <v>Outubro/2019</v>
          </cell>
          <cell r="G1896" t="str">
            <v>Produção da equipe</v>
          </cell>
          <cell r="H1896">
            <v>1</v>
          </cell>
          <cell r="I1896" t="str">
            <v>mês</v>
          </cell>
        </row>
        <row r="1897">
          <cell r="H1897" t="str">
            <v>Valores em reais (R$)</v>
          </cell>
        </row>
        <row r="1898">
          <cell r="C1898" t="str">
            <v>Quantidade</v>
          </cell>
          <cell r="D1898" t="str">
            <v>Utilização</v>
          </cell>
          <cell r="F1898" t="str">
            <v>Custo Horário</v>
          </cell>
          <cell r="I1898" t="str">
            <v>Custo</v>
          </cell>
        </row>
        <row r="1899">
          <cell r="D1899" t="str">
            <v>Operativa</v>
          </cell>
          <cell r="E1899" t="str">
            <v>Improdutiva</v>
          </cell>
          <cell r="F1899" t="str">
            <v>Produtivo</v>
          </cell>
          <cell r="G1899" t="str">
            <v>Improdutivo</v>
          </cell>
          <cell r="I1899" t="str">
            <v>Horário Total</v>
          </cell>
        </row>
        <row r="1900">
          <cell r="C1900">
            <v>30</v>
          </cell>
          <cell r="D1900">
            <v>1</v>
          </cell>
          <cell r="E1900">
            <v>0</v>
          </cell>
          <cell r="F1900">
            <v>151.76990000000001</v>
          </cell>
          <cell r="G1900">
            <v>45.386600000000001</v>
          </cell>
          <cell r="I1900">
            <v>4553.0969999999998</v>
          </cell>
        </row>
        <row r="1901">
          <cell r="G1901" t="str">
            <v>Custo horário total de equipamentos</v>
          </cell>
          <cell r="I1901">
            <v>4553.0969999999998</v>
          </cell>
        </row>
        <row r="1902">
          <cell r="C1902" t="str">
            <v>Quantidade</v>
          </cell>
          <cell r="D1902" t="str">
            <v>Unidade</v>
          </cell>
          <cell r="E1902" t="str">
            <v>Custo Horário</v>
          </cell>
          <cell r="G1902" t="str">
            <v>Custo Horário Total</v>
          </cell>
        </row>
        <row r="1903">
          <cell r="C1903">
            <v>1</v>
          </cell>
          <cell r="D1903" t="str">
            <v>mês</v>
          </cell>
          <cell r="F1903">
            <v>5601.4097000000002</v>
          </cell>
          <cell r="I1903">
            <v>5601.4097000000002</v>
          </cell>
        </row>
        <row r="1904">
          <cell r="C1904">
            <v>1</v>
          </cell>
          <cell r="D1904" t="str">
            <v>mês</v>
          </cell>
          <cell r="F1904">
            <v>4525.3734999999997</v>
          </cell>
          <cell r="I1904">
            <v>4525.3734999999997</v>
          </cell>
        </row>
        <row r="1905">
          <cell r="C1905">
            <v>1</v>
          </cell>
          <cell r="D1905" t="str">
            <v>mês</v>
          </cell>
          <cell r="F1905">
            <v>4580.7452000000003</v>
          </cell>
          <cell r="I1905">
            <v>4580.7452000000003</v>
          </cell>
        </row>
        <row r="1906">
          <cell r="C1906">
            <v>320</v>
          </cell>
          <cell r="D1906" t="str">
            <v>h</v>
          </cell>
          <cell r="F1906">
            <v>23.6508</v>
          </cell>
          <cell r="I1906">
            <v>7568.2560000000003</v>
          </cell>
        </row>
        <row r="1907">
          <cell r="C1907">
            <v>2</v>
          </cell>
          <cell r="D1907" t="str">
            <v>mês</v>
          </cell>
          <cell r="F1907">
            <v>3585.4960000000001</v>
          </cell>
          <cell r="I1907">
            <v>7170.9920000000002</v>
          </cell>
        </row>
        <row r="1908">
          <cell r="C1908" t="str">
            <v>Custo horário total de mão de obra</v>
          </cell>
          <cell r="H1908">
            <v>29446.776400000002</v>
          </cell>
        </row>
        <row r="1909">
          <cell r="C1909" t="str">
            <v>Custo horário total de execução</v>
          </cell>
          <cell r="I1909">
            <v>33999.873400000004</v>
          </cell>
        </row>
        <row r="1910">
          <cell r="C1910" t="str">
            <v>Custo unitário de execução</v>
          </cell>
          <cell r="I1910">
            <v>33999.873400000004</v>
          </cell>
        </row>
        <row r="1911">
          <cell r="G1911" t="str">
            <v>Custo do FIC</v>
          </cell>
          <cell r="I1911" t="str">
            <v>-</v>
          </cell>
        </row>
        <row r="1912">
          <cell r="G1912" t="str">
            <v>Custo do FIT</v>
          </cell>
          <cell r="I1912" t="str">
            <v>-</v>
          </cell>
        </row>
        <row r="1913">
          <cell r="C1913" t="str">
            <v>Quantidade</v>
          </cell>
          <cell r="D1913" t="str">
            <v>Unidade</v>
          </cell>
          <cell r="E1913" t="str">
            <v>Preço Unitário</v>
          </cell>
          <cell r="G1913" t="str">
            <v>Custo Unitário</v>
          </cell>
        </row>
        <row r="1914">
          <cell r="C1914">
            <v>1</v>
          </cell>
          <cell r="D1914" t="str">
            <v>vb</v>
          </cell>
          <cell r="F1914">
            <v>5000</v>
          </cell>
          <cell r="I1914">
            <v>5000</v>
          </cell>
        </row>
        <row r="1915">
          <cell r="C1915" t="str">
            <v>Custo unitário total de material</v>
          </cell>
          <cell r="I1915">
            <v>5000</v>
          </cell>
        </row>
        <row r="1916">
          <cell r="C1916" t="str">
            <v>Quantidade</v>
          </cell>
          <cell r="D1916" t="str">
            <v>Unidade</v>
          </cell>
          <cell r="E1916" t="str">
            <v>Custo Unitário</v>
          </cell>
          <cell r="G1916" t="str">
            <v>Custo Unitário</v>
          </cell>
        </row>
        <row r="1917">
          <cell r="C1917" t="str">
            <v>Custo total de atividades auxiliares</v>
          </cell>
        </row>
        <row r="1918">
          <cell r="G1918" t="str">
            <v>Subtotal</v>
          </cell>
        </row>
        <row r="1919">
          <cell r="C1919" t="str">
            <v>Código</v>
          </cell>
          <cell r="D1919" t="str">
            <v>Quantidade</v>
          </cell>
          <cell r="E1919" t="str">
            <v>Unidade</v>
          </cell>
          <cell r="F1919" t="str">
            <v>Custo Unitário</v>
          </cell>
          <cell r="H1919" t="str">
            <v>Custo Unitário</v>
          </cell>
        </row>
        <row r="1920">
          <cell r="C1920" t="str">
            <v>Custo unitário total de tempo fixo</v>
          </cell>
        </row>
        <row r="1921">
          <cell r="C1921" t="str">
            <v>Quantidade</v>
          </cell>
          <cell r="D1921" t="str">
            <v>Unidade</v>
          </cell>
          <cell r="E1921" t="str">
            <v>DMT</v>
          </cell>
          <cell r="I1921" t="str">
            <v>Custo Unitário</v>
          </cell>
        </row>
        <row r="1922">
          <cell r="E1922" t="str">
            <v>LN</v>
          </cell>
          <cell r="F1922" t="str">
            <v>RP</v>
          </cell>
          <cell r="G1922" t="str">
            <v>P</v>
          </cell>
        </row>
        <row r="1923">
          <cell r="C1923">
            <v>1</v>
          </cell>
          <cell r="D1923" t="str">
            <v>tkm</v>
          </cell>
          <cell r="E1923">
            <v>5914314</v>
          </cell>
          <cell r="F1923">
            <v>5914329</v>
          </cell>
          <cell r="G1923">
            <v>5914344</v>
          </cell>
        </row>
        <row r="1924">
          <cell r="C1924" t="str">
            <v>Custo unitário total de transporte</v>
          </cell>
          <cell r="I1924" t="str">
            <v>-</v>
          </cell>
        </row>
        <row r="1925">
          <cell r="C1925" t="str">
            <v>CPU03</v>
          </cell>
          <cell r="D1925" t="str">
            <v>mês</v>
          </cell>
          <cell r="E1925" t="str">
            <v>Custo unitário direto total</v>
          </cell>
          <cell r="I1925">
            <v>38999.873400000004</v>
          </cell>
        </row>
        <row r="1928">
          <cell r="I1928" t="str">
            <v>DNIT</v>
          </cell>
        </row>
        <row r="1930">
          <cell r="D1930" t="str">
            <v>Outubro/2019</v>
          </cell>
          <cell r="G1930" t="str">
            <v>Produção da equipe</v>
          </cell>
          <cell r="H1930">
            <v>224.1</v>
          </cell>
          <cell r="I1930" t="str">
            <v>tkm</v>
          </cell>
        </row>
        <row r="1931">
          <cell r="H1931" t="str">
            <v>Valores em reais (R$)</v>
          </cell>
        </row>
        <row r="1932">
          <cell r="C1932" t="str">
            <v>Quantidade</v>
          </cell>
          <cell r="D1932" t="str">
            <v>Utilização</v>
          </cell>
          <cell r="F1932" t="str">
            <v>Custo Horário</v>
          </cell>
          <cell r="I1932" t="str">
            <v>Custo</v>
          </cell>
        </row>
        <row r="1933">
          <cell r="D1933" t="str">
            <v>Operativa</v>
          </cell>
          <cell r="E1933" t="str">
            <v>Improdutiva</v>
          </cell>
          <cell r="F1933" t="str">
            <v>Produtivo</v>
          </cell>
          <cell r="G1933" t="str">
            <v>Improdutivo</v>
          </cell>
          <cell r="I1933" t="str">
            <v>Horário Total</v>
          </cell>
        </row>
        <row r="1934">
          <cell r="C1934">
            <v>1</v>
          </cell>
          <cell r="D1934">
            <v>1</v>
          </cell>
          <cell r="E1934">
            <v>0</v>
          </cell>
          <cell r="F1934">
            <v>163.85919999999999</v>
          </cell>
          <cell r="G1934">
            <v>51.366300000000003</v>
          </cell>
          <cell r="I1934">
            <v>163.85919999999999</v>
          </cell>
        </row>
        <row r="1935">
          <cell r="G1935" t="str">
            <v>Custo horário total de equipamentos</v>
          </cell>
          <cell r="I1935">
            <v>163.85919999999999</v>
          </cell>
        </row>
        <row r="1936">
          <cell r="C1936" t="str">
            <v>Quantidade</v>
          </cell>
          <cell r="D1936" t="str">
            <v>Unidade</v>
          </cell>
          <cell r="E1936" t="str">
            <v>Custo Horário</v>
          </cell>
          <cell r="G1936" t="str">
            <v>Custo Horário Total</v>
          </cell>
        </row>
        <row r="1937">
          <cell r="C1937" t="str">
            <v>Custo horário total de mão de obra</v>
          </cell>
          <cell r="H1937" t="str">
            <v>-</v>
          </cell>
        </row>
        <row r="1938">
          <cell r="C1938" t="str">
            <v>Custo horário total de execução</v>
          </cell>
          <cell r="I1938">
            <v>163.85919999999999</v>
          </cell>
        </row>
        <row r="1939">
          <cell r="C1939" t="str">
            <v>Custo unitário de execução</v>
          </cell>
          <cell r="I1939">
            <v>0.73118786256135648</v>
          </cell>
        </row>
        <row r="1940">
          <cell r="G1940" t="str">
            <v>Custo do FIC</v>
          </cell>
          <cell r="I1940" t="str">
            <v>-</v>
          </cell>
        </row>
        <row r="1941">
          <cell r="G1941" t="str">
            <v>Custo do FIT</v>
          </cell>
          <cell r="I1941" t="str">
            <v>-</v>
          </cell>
        </row>
        <row r="1942">
          <cell r="C1942" t="str">
            <v>Quantidade</v>
          </cell>
          <cell r="D1942" t="str">
            <v>Unidade</v>
          </cell>
          <cell r="E1942" t="str">
            <v>Preço Unitário</v>
          </cell>
          <cell r="G1942" t="str">
            <v>Custo Unitário</v>
          </cell>
        </row>
        <row r="1943">
          <cell r="C1943" t="str">
            <v>Custo unitário total de material</v>
          </cell>
        </row>
        <row r="1944">
          <cell r="C1944" t="str">
            <v>Quantidade</v>
          </cell>
          <cell r="D1944" t="str">
            <v>Unidade</v>
          </cell>
          <cell r="E1944" t="str">
            <v>Custo Unitário</v>
          </cell>
          <cell r="G1944" t="str">
            <v>Custo Unitário</v>
          </cell>
        </row>
        <row r="1945">
          <cell r="C1945" t="str">
            <v>Custo total de atividades auxiliares</v>
          </cell>
        </row>
        <row r="1946">
          <cell r="G1946" t="str">
            <v>Subtotal</v>
          </cell>
        </row>
        <row r="1947">
          <cell r="C1947" t="str">
            <v>Código</v>
          </cell>
          <cell r="D1947" t="str">
            <v>Quantidade</v>
          </cell>
          <cell r="E1947" t="str">
            <v>Unidade</v>
          </cell>
          <cell r="F1947" t="str">
            <v>Custo Unitário</v>
          </cell>
          <cell r="H1947" t="str">
            <v>Custo Unitário</v>
          </cell>
        </row>
        <row r="1948">
          <cell r="C1948" t="str">
            <v>Custo unitário total de tempo fixo</v>
          </cell>
        </row>
        <row r="1949">
          <cell r="C1949" t="str">
            <v>Quantidade</v>
          </cell>
          <cell r="D1949" t="str">
            <v>Unidade</v>
          </cell>
          <cell r="E1949" t="str">
            <v>DMT</v>
          </cell>
          <cell r="I1949" t="str">
            <v>Custo Unitário</v>
          </cell>
        </row>
        <row r="1950">
          <cell r="E1950" t="str">
            <v>LN</v>
          </cell>
          <cell r="F1950" t="str">
            <v>RP</v>
          </cell>
          <cell r="G1950" t="str">
            <v>P</v>
          </cell>
        </row>
        <row r="1951">
          <cell r="C1951" t="str">
            <v>Custo unitário total de transporte</v>
          </cell>
          <cell r="I1951" t="str">
            <v>-</v>
          </cell>
        </row>
        <row r="1952">
          <cell r="C1952">
            <v>5914610</v>
          </cell>
          <cell r="D1952" t="str">
            <v>tkm</v>
          </cell>
          <cell r="E1952" t="str">
            <v>Custo unitário direto total</v>
          </cell>
          <cell r="I1952">
            <v>0.73118786256135648</v>
          </cell>
        </row>
        <row r="1955">
          <cell r="I1955" t="str">
            <v>DNIT</v>
          </cell>
        </row>
        <row r="1957">
          <cell r="D1957" t="str">
            <v>Outubro/2019</v>
          </cell>
          <cell r="G1957" t="str">
            <v>Produção da equipe</v>
          </cell>
          <cell r="H1957">
            <v>90.84</v>
          </cell>
          <cell r="I1957" t="str">
            <v>t</v>
          </cell>
        </row>
        <row r="1958">
          <cell r="H1958" t="str">
            <v>Valores em reais (R$)</v>
          </cell>
        </row>
        <row r="1959">
          <cell r="C1959" t="str">
            <v>Quantidade</v>
          </cell>
          <cell r="D1959" t="str">
            <v>Utilização</v>
          </cell>
          <cell r="F1959" t="str">
            <v>Custo Horário</v>
          </cell>
          <cell r="I1959" t="str">
            <v>Custo</v>
          </cell>
        </row>
        <row r="1960">
          <cell r="D1960" t="str">
            <v>Operativa</v>
          </cell>
          <cell r="E1960" t="str">
            <v>Improdutiva</v>
          </cell>
          <cell r="F1960" t="str">
            <v>Produtivo</v>
          </cell>
          <cell r="G1960" t="str">
            <v>Improdutivo</v>
          </cell>
          <cell r="I1960" t="str">
            <v>Horário Total</v>
          </cell>
        </row>
        <row r="1961">
          <cell r="C1961">
            <v>1</v>
          </cell>
          <cell r="D1961">
            <v>1</v>
          </cell>
          <cell r="E1961">
            <v>0</v>
          </cell>
          <cell r="F1961">
            <v>254.8081</v>
          </cell>
          <cell r="G1961">
            <v>58.5548</v>
          </cell>
          <cell r="I1961">
            <v>254.8081</v>
          </cell>
        </row>
        <row r="1962">
          <cell r="G1962" t="str">
            <v>Custo horário total de equipamentos</v>
          </cell>
          <cell r="I1962">
            <v>254.8081</v>
          </cell>
        </row>
        <row r="1963">
          <cell r="C1963" t="str">
            <v>Quantidade</v>
          </cell>
          <cell r="D1963" t="str">
            <v>Unidade</v>
          </cell>
          <cell r="E1963" t="str">
            <v>Custo Horário</v>
          </cell>
          <cell r="G1963" t="str">
            <v>Custo Horário Total</v>
          </cell>
        </row>
        <row r="1964">
          <cell r="C1964" t="str">
            <v>Custo horário total de mão de obra</v>
          </cell>
          <cell r="H1964" t="str">
            <v>-</v>
          </cell>
        </row>
        <row r="1965">
          <cell r="C1965" t="str">
            <v>Custo horário total de execução</v>
          </cell>
          <cell r="I1965">
            <v>254.8081</v>
          </cell>
        </row>
        <row r="1966">
          <cell r="C1966" t="str">
            <v>Custo unitário de execução</v>
          </cell>
          <cell r="I1966">
            <v>2.805020915896081</v>
          </cell>
        </row>
        <row r="1967">
          <cell r="G1967" t="str">
            <v>Custo do FIC</v>
          </cell>
          <cell r="I1967" t="str">
            <v>-</v>
          </cell>
        </row>
        <row r="1968">
          <cell r="G1968" t="str">
            <v>Custo do FIT</v>
          </cell>
          <cell r="I1968" t="str">
            <v>-</v>
          </cell>
        </row>
        <row r="1969">
          <cell r="C1969" t="str">
            <v>Quantidade</v>
          </cell>
          <cell r="D1969" t="str">
            <v>Unidade</v>
          </cell>
          <cell r="E1969" t="str">
            <v>Preço Unitário</v>
          </cell>
          <cell r="G1969" t="str">
            <v>Custo Unitário</v>
          </cell>
        </row>
        <row r="1970">
          <cell r="C1970" t="str">
            <v>Custo unitário total de material</v>
          </cell>
        </row>
        <row r="1971">
          <cell r="C1971" t="str">
            <v>Quantidade</v>
          </cell>
          <cell r="D1971" t="str">
            <v>Unidade</v>
          </cell>
          <cell r="E1971" t="str">
            <v>Custo Unitário</v>
          </cell>
          <cell r="G1971" t="str">
            <v>Custo Unitário</v>
          </cell>
        </row>
        <row r="1972">
          <cell r="C1972" t="str">
            <v>Custo total de atividades auxiliares</v>
          </cell>
        </row>
        <row r="1973">
          <cell r="G1973" t="str">
            <v>Subtotal</v>
          </cell>
        </row>
        <row r="1974">
          <cell r="C1974" t="str">
            <v>Código</v>
          </cell>
          <cell r="D1974" t="str">
            <v>Quantidade</v>
          </cell>
          <cell r="E1974" t="str">
            <v>Unidade</v>
          </cell>
          <cell r="F1974" t="str">
            <v>Custo Unitário</v>
          </cell>
          <cell r="H1974" t="str">
            <v>Custo Unitário</v>
          </cell>
        </row>
        <row r="1975">
          <cell r="C1975" t="str">
            <v>Custo unitário total de tempo fixo</v>
          </cell>
        </row>
        <row r="1976">
          <cell r="C1976" t="str">
            <v>Quantidade</v>
          </cell>
          <cell r="D1976" t="str">
            <v>Unidade</v>
          </cell>
          <cell r="E1976" t="str">
            <v>DMT</v>
          </cell>
          <cell r="I1976" t="str">
            <v>Custo Unitário</v>
          </cell>
        </row>
        <row r="1977">
          <cell r="E1977" t="str">
            <v>LN</v>
          </cell>
          <cell r="F1977" t="str">
            <v>RP</v>
          </cell>
          <cell r="G1977" t="str">
            <v>P</v>
          </cell>
        </row>
        <row r="1978">
          <cell r="C1978" t="str">
            <v>Custo unitário total de transporte</v>
          </cell>
          <cell r="I1978" t="str">
            <v>-</v>
          </cell>
        </row>
        <row r="1979">
          <cell r="C1979" t="str">
            <v>CPU04</v>
          </cell>
          <cell r="D1979" t="str">
            <v>t</v>
          </cell>
          <cell r="E1979" t="str">
            <v>Custo unitário direto total</v>
          </cell>
          <cell r="I1979">
            <v>2.805020915896081</v>
          </cell>
        </row>
      </sheetData>
      <sheetData sheetId="20" refreshError="1"/>
      <sheetData sheetId="21" refreshError="1"/>
      <sheetData sheetId="2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bertura Vegetal"/>
      <sheetName val="Plan1"/>
    </sheetNames>
    <sheetDataSet>
      <sheetData sheetId="0"/>
      <sheetData sheetId="1"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a"/>
      <sheetName val="obs"/>
      <sheetName val="Sumário"/>
      <sheetName val="1. Fin Model"/>
      <sheetName val="CP"/>
      <sheetName val="FS"/>
      <sheetName val="FSN"/>
      <sheetName val="FSDefl"/>
      <sheetName val="check"/>
      <sheetName val="FX"/>
      <sheetName val="Charts"/>
      <sheetName val="Fatores"/>
      <sheetName val="2. Revenue"/>
      <sheetName val="Tráfego"/>
      <sheetName val="AVI"/>
      <sheetName val="3. Opex Capex"/>
      <sheetName val="OPEX"/>
      <sheetName val="CAPEX"/>
      <sheetName val="CAPEX-BR-116- RURAL"/>
      <sheetName val="CAPEX-BR-116- METROPOLITANA"/>
      <sheetName val="CAPEX-BR-101"/>
      <sheetName val="Crono"/>
      <sheetName val="3.1 Inventários e Cadastros"/>
      <sheetName val="Segmentos"/>
      <sheetName val="Inventários"/>
      <sheetName val="Cadastros"/>
      <sheetName val="3.2 Memórias de Cálculo"/>
      <sheetName val="$Manutenção Pav"/>
      <sheetName val="$Trabalhos Iniciais"/>
      <sheetName val="$Acessos"/>
      <sheetName val="$Ônibus"/>
      <sheetName val="$Recuperação"/>
      <sheetName val="$iRAP - CAPEX"/>
      <sheetName val="$iRAP - OPEX"/>
      <sheetName val="$OAE"/>
      <sheetName val="$Manutenção OAE"/>
      <sheetName val="$Interseções"/>
      <sheetName val="$Pistas e Marginais"/>
      <sheetName val="$Passarela"/>
      <sheetName val="$Edificações"/>
      <sheetName val="$Túneis"/>
      <sheetName val="$Passagem Fauna"/>
      <sheetName val="$CX Prod. Perig."/>
      <sheetName val="$Barreiras Ruído"/>
      <sheetName val="$Opex.MO Gestão"/>
      <sheetName val="$Opex.MO Operação"/>
      <sheetName val="$Consumo"/>
      <sheetName val="$SAU - CAPEX E OPEX"/>
      <sheetName val="$PGF - CAPEX E OPEX"/>
      <sheetName val="$Faixa Reversível"/>
      <sheetName val="$Opex.Monit"/>
      <sheetName val="$Consumo Energia"/>
      <sheetName val="$Conserva BR-116 RJ"/>
      <sheetName val="$Conserva BR-116 SP"/>
      <sheetName val="$Conserva BR-101 RJ"/>
      <sheetName val="$Conserva BR-101 SP"/>
      <sheetName val="3.3 ITS"/>
      <sheetName val="CAPEX ITS"/>
      <sheetName val="OPEX ITS"/>
      <sheetName val="3.4 Socioambiental"/>
      <sheetName val="SOCIOAMBIENTAL - CAPEX"/>
      <sheetName val="3.5 Bases de Dados"/>
      <sheetName val="BDI"/>
      <sheetName val="$Preços"/>
      <sheetName val="ASFALTO"/>
    </sheetNames>
    <sheetDataSet>
      <sheetData sheetId="0" refreshError="1"/>
      <sheetData sheetId="1" refreshError="1"/>
      <sheetData sheetId="2" refreshError="1"/>
      <sheetData sheetId="3" refreshError="1"/>
      <sheetData sheetId="4">
        <row r="40">
          <cell r="I40">
            <v>1</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ow r="33">
          <cell r="B33" t="str">
            <v>2-101-RJ-7</v>
          </cell>
          <cell r="G33">
            <v>0</v>
          </cell>
          <cell r="H33">
            <v>0</v>
          </cell>
          <cell r="I33">
            <v>0</v>
          </cell>
          <cell r="J33">
            <v>0</v>
          </cell>
          <cell r="K33">
            <v>1</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row>
        <row r="34">
          <cell r="B34" t="str">
            <v>2-101-RJ-8</v>
          </cell>
          <cell r="G34">
            <v>0</v>
          </cell>
          <cell r="H34">
            <v>0</v>
          </cell>
          <cell r="I34">
            <v>0</v>
          </cell>
          <cell r="J34">
            <v>0</v>
          </cell>
          <cell r="K34">
            <v>1</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row>
        <row r="35">
          <cell r="B35" t="str">
            <v>2-101-RJ-9</v>
          </cell>
          <cell r="G35">
            <v>0</v>
          </cell>
          <cell r="H35">
            <v>0</v>
          </cell>
          <cell r="I35">
            <v>0</v>
          </cell>
          <cell r="J35">
            <v>0</v>
          </cell>
          <cell r="K35">
            <v>1</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row>
        <row r="36">
          <cell r="B36" t="str">
            <v>2-101-RJ-10</v>
          </cell>
          <cell r="G36">
            <v>0</v>
          </cell>
          <cell r="H36">
            <v>0</v>
          </cell>
          <cell r="I36">
            <v>0</v>
          </cell>
          <cell r="J36">
            <v>0</v>
          </cell>
          <cell r="K36">
            <v>0.6</v>
          </cell>
          <cell r="L36">
            <v>0.4</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row>
        <row r="37">
          <cell r="B37" t="str">
            <v>2-101-RJ-11</v>
          </cell>
          <cell r="G37">
            <v>0</v>
          </cell>
          <cell r="H37">
            <v>0</v>
          </cell>
          <cell r="I37">
            <v>0</v>
          </cell>
          <cell r="J37">
            <v>0</v>
          </cell>
          <cell r="K37">
            <v>0</v>
          </cell>
          <cell r="L37">
            <v>1</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row>
        <row r="38">
          <cell r="B38" t="str">
            <v>2-101-RJ-12</v>
          </cell>
          <cell r="G38">
            <v>0</v>
          </cell>
          <cell r="H38">
            <v>0</v>
          </cell>
          <cell r="I38">
            <v>0</v>
          </cell>
          <cell r="J38">
            <v>0</v>
          </cell>
          <cell r="K38">
            <v>0</v>
          </cell>
          <cell r="L38">
            <v>0.5</v>
          </cell>
          <cell r="M38">
            <v>0.5</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row>
        <row r="39">
          <cell r="B39" t="str">
            <v>2-101-RJ-13</v>
          </cell>
          <cell r="G39">
            <v>0</v>
          </cell>
          <cell r="H39">
            <v>0</v>
          </cell>
          <cell r="I39">
            <v>0</v>
          </cell>
          <cell r="J39">
            <v>0</v>
          </cell>
          <cell r="K39">
            <v>0</v>
          </cell>
          <cell r="L39">
            <v>0</v>
          </cell>
          <cell r="M39">
            <v>0.7</v>
          </cell>
          <cell r="N39">
            <v>0.3</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row>
        <row r="40">
          <cell r="B40" t="str">
            <v>2-101-RJ-14</v>
          </cell>
          <cell r="G40">
            <v>0</v>
          </cell>
          <cell r="H40">
            <v>0</v>
          </cell>
          <cell r="I40">
            <v>0</v>
          </cell>
          <cell r="J40">
            <v>0</v>
          </cell>
          <cell r="K40">
            <v>0</v>
          </cell>
          <cell r="L40">
            <v>0</v>
          </cell>
          <cell r="M40">
            <v>0</v>
          </cell>
          <cell r="N40">
            <v>0</v>
          </cell>
          <cell r="O40">
            <v>1</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row>
        <row r="41">
          <cell r="B41" t="str">
            <v>2-101-SP-1</v>
          </cell>
          <cell r="G41">
            <v>0</v>
          </cell>
          <cell r="H41">
            <v>0</v>
          </cell>
          <cell r="I41">
            <v>0</v>
          </cell>
          <cell r="J41">
            <v>0</v>
          </cell>
          <cell r="K41">
            <v>0</v>
          </cell>
          <cell r="L41">
            <v>0</v>
          </cell>
          <cell r="M41">
            <v>0</v>
          </cell>
          <cell r="N41">
            <v>0</v>
          </cell>
          <cell r="O41">
            <v>1</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row>
        <row r="42">
          <cell r="B42" t="str">
            <v>2-101-SP-2</v>
          </cell>
          <cell r="G42">
            <v>0</v>
          </cell>
          <cell r="H42">
            <v>0</v>
          </cell>
          <cell r="I42">
            <v>0</v>
          </cell>
          <cell r="J42">
            <v>0</v>
          </cell>
          <cell r="K42">
            <v>0</v>
          </cell>
          <cell r="L42">
            <v>0</v>
          </cell>
          <cell r="M42">
            <v>0</v>
          </cell>
          <cell r="N42">
            <v>1</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row>
        <row r="43">
          <cell r="B43" t="str">
            <v>2-116-RJ-11</v>
          </cell>
          <cell r="G43">
            <v>0</v>
          </cell>
          <cell r="H43">
            <v>0</v>
          </cell>
          <cell r="I43">
            <v>0</v>
          </cell>
          <cell r="J43">
            <v>0</v>
          </cell>
          <cell r="K43">
            <v>0</v>
          </cell>
          <cell r="L43">
            <v>0</v>
          </cell>
          <cell r="M43">
            <v>0</v>
          </cell>
          <cell r="N43">
            <v>0</v>
          </cell>
          <cell r="O43">
            <v>1</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row>
        <row r="44">
          <cell r="B44" t="str">
            <v>2-116-RJ-12</v>
          </cell>
          <cell r="G44">
            <v>0</v>
          </cell>
          <cell r="H44">
            <v>0</v>
          </cell>
          <cell r="I44">
            <v>0</v>
          </cell>
          <cell r="J44">
            <v>0</v>
          </cell>
          <cell r="K44">
            <v>0</v>
          </cell>
          <cell r="L44">
            <v>0</v>
          </cell>
          <cell r="M44">
            <v>0</v>
          </cell>
          <cell r="N44">
            <v>0</v>
          </cell>
          <cell r="O44">
            <v>1</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row>
        <row r="45">
          <cell r="B45" t="str">
            <v>2-116-RJ-13</v>
          </cell>
          <cell r="G45">
            <v>0</v>
          </cell>
          <cell r="H45">
            <v>0</v>
          </cell>
          <cell r="I45">
            <v>0.25</v>
          </cell>
          <cell r="J45">
            <v>0.25</v>
          </cell>
          <cell r="K45">
            <v>0.25</v>
          </cell>
          <cell r="L45">
            <v>0.25</v>
          </cell>
          <cell r="M45">
            <v>0</v>
          </cell>
          <cell r="N45">
            <v>0</v>
          </cell>
          <cell r="O45">
            <v>0</v>
          </cell>
          <cell r="P45">
            <v>0</v>
          </cell>
          <cell r="Q45">
            <v>0</v>
          </cell>
          <cell r="R45">
            <v>0</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row>
        <row r="46">
          <cell r="B46" t="str">
            <v>2-116-RJ-14</v>
          </cell>
          <cell r="G46">
            <v>0</v>
          </cell>
          <cell r="H46">
            <v>0</v>
          </cell>
          <cell r="I46">
            <v>0</v>
          </cell>
          <cell r="J46">
            <v>0</v>
          </cell>
          <cell r="K46">
            <v>0</v>
          </cell>
          <cell r="L46">
            <v>0</v>
          </cell>
          <cell r="M46">
            <v>1</v>
          </cell>
          <cell r="N46">
            <v>0</v>
          </cell>
          <cell r="O46">
            <v>0</v>
          </cell>
          <cell r="P46">
            <v>0</v>
          </cell>
          <cell r="Q46">
            <v>0</v>
          </cell>
          <cell r="R46">
            <v>0</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row>
        <row r="47">
          <cell r="B47" t="str">
            <v>2-116-RJ-15</v>
          </cell>
          <cell r="G47">
            <v>0</v>
          </cell>
          <cell r="H47">
            <v>0</v>
          </cell>
          <cell r="I47">
            <v>0</v>
          </cell>
          <cell r="J47">
            <v>0</v>
          </cell>
          <cell r="K47">
            <v>0</v>
          </cell>
          <cell r="L47">
            <v>0</v>
          </cell>
          <cell r="M47">
            <v>0</v>
          </cell>
          <cell r="N47">
            <v>0</v>
          </cell>
          <cell r="O47">
            <v>0</v>
          </cell>
          <cell r="P47">
            <v>1</v>
          </cell>
          <cell r="Q47">
            <v>0</v>
          </cell>
          <cell r="R47">
            <v>0</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row>
        <row r="48">
          <cell r="B48" t="str">
            <v>2-116-RJ-16</v>
          </cell>
          <cell r="G48">
            <v>0</v>
          </cell>
          <cell r="H48">
            <v>0</v>
          </cell>
          <cell r="I48">
            <v>0</v>
          </cell>
          <cell r="J48">
            <v>0</v>
          </cell>
          <cell r="K48">
            <v>0</v>
          </cell>
          <cell r="L48">
            <v>0</v>
          </cell>
          <cell r="M48">
            <v>0</v>
          </cell>
          <cell r="N48">
            <v>0</v>
          </cell>
          <cell r="O48">
            <v>0</v>
          </cell>
          <cell r="P48">
            <v>1</v>
          </cell>
          <cell r="Q48">
            <v>0</v>
          </cell>
          <cell r="R48">
            <v>0</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row>
        <row r="49">
          <cell r="B49" t="str">
            <v>2-116-RJ-17</v>
          </cell>
          <cell r="G49">
            <v>0</v>
          </cell>
          <cell r="H49">
            <v>0</v>
          </cell>
          <cell r="I49">
            <v>0</v>
          </cell>
          <cell r="J49">
            <v>0</v>
          </cell>
          <cell r="K49">
            <v>0</v>
          </cell>
          <cell r="L49">
            <v>0</v>
          </cell>
          <cell r="M49">
            <v>0</v>
          </cell>
          <cell r="N49">
            <v>0</v>
          </cell>
          <cell r="O49">
            <v>0</v>
          </cell>
          <cell r="P49">
            <v>0</v>
          </cell>
          <cell r="Q49">
            <v>1</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row>
        <row r="50">
          <cell r="B50" t="str">
            <v>2-116-RJ-18</v>
          </cell>
          <cell r="G50">
            <v>0</v>
          </cell>
          <cell r="H50">
            <v>0</v>
          </cell>
          <cell r="I50">
            <v>0</v>
          </cell>
          <cell r="J50">
            <v>0</v>
          </cell>
          <cell r="K50">
            <v>0</v>
          </cell>
          <cell r="L50">
            <v>0</v>
          </cell>
          <cell r="M50">
            <v>1</v>
          </cell>
          <cell r="N50">
            <v>0</v>
          </cell>
          <cell r="O50">
            <v>0</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row>
        <row r="51">
          <cell r="B51" t="str">
            <v>2-116-RJ-19</v>
          </cell>
          <cell r="G51">
            <v>0</v>
          </cell>
          <cell r="H51">
            <v>0</v>
          </cell>
          <cell r="I51">
            <v>0</v>
          </cell>
          <cell r="J51">
            <v>0</v>
          </cell>
          <cell r="K51">
            <v>0</v>
          </cell>
          <cell r="L51">
            <v>0</v>
          </cell>
          <cell r="M51">
            <v>0</v>
          </cell>
          <cell r="N51">
            <v>0.5</v>
          </cell>
          <cell r="O51">
            <v>0.5</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row>
        <row r="52">
          <cell r="B52" t="str">
            <v>2-116-RJ-20</v>
          </cell>
          <cell r="G52">
            <v>0</v>
          </cell>
          <cell r="H52">
            <v>0</v>
          </cell>
          <cell r="I52">
            <v>0</v>
          </cell>
          <cell r="J52">
            <v>0</v>
          </cell>
          <cell r="K52">
            <v>0</v>
          </cell>
          <cell r="L52">
            <v>0</v>
          </cell>
          <cell r="M52">
            <v>0</v>
          </cell>
          <cell r="N52">
            <v>0</v>
          </cell>
          <cell r="O52">
            <v>0</v>
          </cell>
          <cell r="P52">
            <v>1</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row>
        <row r="53">
          <cell r="B53" t="str">
            <v>2-116-RJ-21</v>
          </cell>
          <cell r="G53">
            <v>0</v>
          </cell>
          <cell r="H53">
            <v>0</v>
          </cell>
          <cell r="I53">
            <v>0</v>
          </cell>
          <cell r="J53">
            <v>0</v>
          </cell>
          <cell r="K53">
            <v>0</v>
          </cell>
          <cell r="L53">
            <v>0</v>
          </cell>
          <cell r="M53">
            <v>0</v>
          </cell>
          <cell r="N53">
            <v>0</v>
          </cell>
          <cell r="O53">
            <v>0</v>
          </cell>
          <cell r="P53">
            <v>0</v>
          </cell>
          <cell r="Q53">
            <v>1</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row>
        <row r="54">
          <cell r="B54" t="str">
            <v>2-116-RJ-22</v>
          </cell>
          <cell r="G54">
            <v>0</v>
          </cell>
          <cell r="H54">
            <v>0</v>
          </cell>
          <cell r="I54">
            <v>0</v>
          </cell>
          <cell r="J54">
            <v>0</v>
          </cell>
          <cell r="K54">
            <v>0</v>
          </cell>
          <cell r="L54">
            <v>0</v>
          </cell>
          <cell r="M54">
            <v>0</v>
          </cell>
          <cell r="N54">
            <v>0</v>
          </cell>
          <cell r="O54">
            <v>0</v>
          </cell>
          <cell r="P54">
            <v>0</v>
          </cell>
          <cell r="Q54">
            <v>1</v>
          </cell>
          <cell r="R54">
            <v>0</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row>
        <row r="55">
          <cell r="B55" t="str">
            <v>2-116-RJ-23</v>
          </cell>
          <cell r="G55">
            <v>0</v>
          </cell>
          <cell r="H55">
            <v>0</v>
          </cell>
          <cell r="I55">
            <v>0</v>
          </cell>
          <cell r="J55">
            <v>0</v>
          </cell>
          <cell r="K55">
            <v>0</v>
          </cell>
          <cell r="L55">
            <v>0</v>
          </cell>
          <cell r="M55">
            <v>0</v>
          </cell>
          <cell r="N55">
            <v>0</v>
          </cell>
          <cell r="O55">
            <v>0</v>
          </cell>
          <cell r="P55">
            <v>1</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row>
        <row r="56">
          <cell r="B56" t="str">
            <v>2-116-RJ-24</v>
          </cell>
          <cell r="G56">
            <v>0</v>
          </cell>
          <cell r="H56">
            <v>0</v>
          </cell>
          <cell r="I56">
            <v>0</v>
          </cell>
          <cell r="J56">
            <v>0</v>
          </cell>
          <cell r="K56">
            <v>0</v>
          </cell>
          <cell r="L56">
            <v>0</v>
          </cell>
          <cell r="M56">
            <v>0</v>
          </cell>
          <cell r="N56">
            <v>0</v>
          </cell>
          <cell r="O56">
            <v>0</v>
          </cell>
          <cell r="P56">
            <v>1</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row>
        <row r="57">
          <cell r="B57" t="str">
            <v>2-116-RJ-25</v>
          </cell>
          <cell r="G57">
            <v>0</v>
          </cell>
          <cell r="H57">
            <v>0</v>
          </cell>
          <cell r="I57">
            <v>0</v>
          </cell>
          <cell r="J57">
            <v>0</v>
          </cell>
          <cell r="K57">
            <v>0</v>
          </cell>
          <cell r="L57">
            <v>0</v>
          </cell>
          <cell r="M57">
            <v>0</v>
          </cell>
          <cell r="N57">
            <v>0</v>
          </cell>
          <cell r="O57">
            <v>1</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row>
        <row r="58">
          <cell r="B58" t="str">
            <v>2-116-RJ-26</v>
          </cell>
          <cell r="G58">
            <v>0</v>
          </cell>
          <cell r="H58">
            <v>0</v>
          </cell>
          <cell r="I58">
            <v>0</v>
          </cell>
          <cell r="J58">
            <v>0</v>
          </cell>
          <cell r="K58">
            <v>0</v>
          </cell>
          <cell r="L58">
            <v>0</v>
          </cell>
          <cell r="M58">
            <v>0</v>
          </cell>
          <cell r="N58">
            <v>0</v>
          </cell>
          <cell r="O58">
            <v>1</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row>
        <row r="59">
          <cell r="B59" t="str">
            <v>2-116-SP-1</v>
          </cell>
          <cell r="G59">
            <v>0</v>
          </cell>
          <cell r="H59">
            <v>0</v>
          </cell>
          <cell r="I59">
            <v>0</v>
          </cell>
          <cell r="J59">
            <v>0</v>
          </cell>
          <cell r="K59">
            <v>0</v>
          </cell>
          <cell r="L59">
            <v>0</v>
          </cell>
          <cell r="M59">
            <v>0</v>
          </cell>
          <cell r="N59">
            <v>0</v>
          </cell>
          <cell r="O59">
            <v>1</v>
          </cell>
          <cell r="P59">
            <v>0</v>
          </cell>
          <cell r="Q59">
            <v>0</v>
          </cell>
          <cell r="R59">
            <v>0</v>
          </cell>
          <cell r="S59">
            <v>0</v>
          </cell>
          <cell r="T59">
            <v>0</v>
          </cell>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row>
        <row r="60">
          <cell r="B60" t="str">
            <v>2-116-SP-2</v>
          </cell>
          <cell r="G60">
            <v>0</v>
          </cell>
          <cell r="H60">
            <v>0</v>
          </cell>
          <cell r="I60">
            <v>0</v>
          </cell>
          <cell r="J60">
            <v>0</v>
          </cell>
          <cell r="K60">
            <v>0</v>
          </cell>
          <cell r="L60">
            <v>0</v>
          </cell>
          <cell r="M60">
            <v>0</v>
          </cell>
          <cell r="N60">
            <v>0</v>
          </cell>
          <cell r="O60">
            <v>0</v>
          </cell>
          <cell r="P60">
            <v>1</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row>
        <row r="61">
          <cell r="B61" t="str">
            <v>2-116-SP-3</v>
          </cell>
          <cell r="G61">
            <v>0</v>
          </cell>
          <cell r="H61">
            <v>0</v>
          </cell>
          <cell r="I61">
            <v>0</v>
          </cell>
          <cell r="J61">
            <v>0</v>
          </cell>
          <cell r="K61">
            <v>0</v>
          </cell>
          <cell r="L61">
            <v>0</v>
          </cell>
          <cell r="M61">
            <v>0</v>
          </cell>
          <cell r="N61">
            <v>0</v>
          </cell>
          <cell r="O61">
            <v>0</v>
          </cell>
          <cell r="P61">
            <v>1</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row>
        <row r="62">
          <cell r="B62" t="str">
            <v>2-116-SP-4</v>
          </cell>
          <cell r="G62">
            <v>0</v>
          </cell>
          <cell r="H62">
            <v>0</v>
          </cell>
          <cell r="I62">
            <v>0</v>
          </cell>
          <cell r="J62">
            <v>0</v>
          </cell>
          <cell r="K62">
            <v>0</v>
          </cell>
          <cell r="L62">
            <v>0</v>
          </cell>
          <cell r="M62">
            <v>0</v>
          </cell>
          <cell r="N62">
            <v>0</v>
          </cell>
          <cell r="O62">
            <v>0</v>
          </cell>
          <cell r="P62">
            <v>1</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row>
        <row r="63">
          <cell r="B63" t="str">
            <v>2-116-SP-5</v>
          </cell>
          <cell r="G63">
            <v>0</v>
          </cell>
          <cell r="H63">
            <v>0</v>
          </cell>
          <cell r="I63">
            <v>0</v>
          </cell>
          <cell r="J63">
            <v>0</v>
          </cell>
          <cell r="K63">
            <v>0</v>
          </cell>
          <cell r="L63">
            <v>0</v>
          </cell>
          <cell r="M63">
            <v>0.5</v>
          </cell>
          <cell r="N63">
            <v>0.5</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row>
        <row r="64">
          <cell r="B64" t="str">
            <v>2-116-SP-6</v>
          </cell>
          <cell r="G64">
            <v>0</v>
          </cell>
          <cell r="H64">
            <v>0</v>
          </cell>
          <cell r="I64">
            <v>0</v>
          </cell>
          <cell r="J64">
            <v>0</v>
          </cell>
          <cell r="K64">
            <v>0</v>
          </cell>
          <cell r="L64">
            <v>0</v>
          </cell>
          <cell r="M64">
            <v>0.5</v>
          </cell>
          <cell r="N64">
            <v>0.5</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row>
        <row r="65">
          <cell r="B65" t="str">
            <v>2-116-SP-7</v>
          </cell>
          <cell r="G65">
            <v>0</v>
          </cell>
          <cell r="H65">
            <v>0</v>
          </cell>
          <cell r="I65">
            <v>0</v>
          </cell>
          <cell r="J65">
            <v>0</v>
          </cell>
          <cell r="K65">
            <v>0</v>
          </cell>
          <cell r="L65">
            <v>0</v>
          </cell>
          <cell r="M65">
            <v>0</v>
          </cell>
          <cell r="N65">
            <v>0</v>
          </cell>
          <cell r="O65">
            <v>1</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row>
        <row r="66">
          <cell r="B66" t="str">
            <v>2-116-SP-8</v>
          </cell>
          <cell r="G66">
            <v>0</v>
          </cell>
          <cell r="H66">
            <v>0</v>
          </cell>
          <cell r="I66">
            <v>0</v>
          </cell>
          <cell r="J66">
            <v>0</v>
          </cell>
          <cell r="K66">
            <v>0</v>
          </cell>
          <cell r="L66">
            <v>0</v>
          </cell>
          <cell r="M66">
            <v>0</v>
          </cell>
          <cell r="N66">
            <v>0</v>
          </cell>
          <cell r="O66">
            <v>0</v>
          </cell>
          <cell r="P66">
            <v>1</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row>
        <row r="67">
          <cell r="B67" t="str">
            <v>2-116-SP-9</v>
          </cell>
          <cell r="G67">
            <v>0</v>
          </cell>
          <cell r="H67">
            <v>0</v>
          </cell>
          <cell r="I67">
            <v>0</v>
          </cell>
          <cell r="J67">
            <v>0</v>
          </cell>
          <cell r="K67">
            <v>0</v>
          </cell>
          <cell r="L67">
            <v>0</v>
          </cell>
          <cell r="M67">
            <v>0</v>
          </cell>
          <cell r="N67">
            <v>0.5</v>
          </cell>
          <cell r="O67">
            <v>0.5</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row>
        <row r="68">
          <cell r="B68" t="str">
            <v>2-116-SP-10</v>
          </cell>
          <cell r="G68">
            <v>0</v>
          </cell>
          <cell r="H68">
            <v>0</v>
          </cell>
          <cell r="I68">
            <v>0</v>
          </cell>
          <cell r="J68">
            <v>1</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row>
        <row r="69">
          <cell r="B69" t="str">
            <v>2-116-SP-11</v>
          </cell>
          <cell r="G69">
            <v>0</v>
          </cell>
          <cell r="H69">
            <v>0</v>
          </cell>
          <cell r="I69">
            <v>0</v>
          </cell>
          <cell r="J69">
            <v>1</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row>
        <row r="70">
          <cell r="B70" t="str">
            <v>2-116-SP-12</v>
          </cell>
          <cell r="G70">
            <v>0</v>
          </cell>
          <cell r="H70">
            <v>0</v>
          </cell>
          <cell r="I70">
            <v>0</v>
          </cell>
          <cell r="J70">
            <v>0</v>
          </cell>
          <cell r="K70">
            <v>0.5</v>
          </cell>
          <cell r="L70">
            <v>0.5</v>
          </cell>
          <cell r="M70">
            <v>0</v>
          </cell>
          <cell r="N70">
            <v>0</v>
          </cell>
          <cell r="O70">
            <v>0</v>
          </cell>
          <cell r="P70">
            <v>0</v>
          </cell>
          <cell r="Q70">
            <v>0</v>
          </cell>
          <cell r="R70">
            <v>0</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row>
        <row r="71">
          <cell r="B71" t="str">
            <v>2-116-SP-13</v>
          </cell>
          <cell r="G71">
            <v>0</v>
          </cell>
          <cell r="H71">
            <v>0</v>
          </cell>
          <cell r="I71">
            <v>0</v>
          </cell>
          <cell r="J71">
            <v>0</v>
          </cell>
          <cell r="K71">
            <v>0</v>
          </cell>
          <cell r="L71">
            <v>1</v>
          </cell>
          <cell r="M71">
            <v>0</v>
          </cell>
          <cell r="N71">
            <v>0</v>
          </cell>
          <cell r="O71">
            <v>0</v>
          </cell>
          <cell r="P71">
            <v>0</v>
          </cell>
          <cell r="Q71">
            <v>0</v>
          </cell>
          <cell r="R71">
            <v>0</v>
          </cell>
          <cell r="S71">
            <v>0</v>
          </cell>
          <cell r="T71">
            <v>0</v>
          </cell>
          <cell r="U71">
            <v>0</v>
          </cell>
          <cell r="V71">
            <v>0</v>
          </cell>
          <cell r="W71">
            <v>0</v>
          </cell>
          <cell r="X71">
            <v>0</v>
          </cell>
          <cell r="Y71">
            <v>0</v>
          </cell>
          <cell r="Z71">
            <v>0</v>
          </cell>
          <cell r="AA71">
            <v>0</v>
          </cell>
          <cell r="AB71">
            <v>0</v>
          </cell>
          <cell r="AC71">
            <v>0</v>
          </cell>
          <cell r="AD71">
            <v>0</v>
          </cell>
          <cell r="AE71">
            <v>0</v>
          </cell>
          <cell r="AF71">
            <v>0</v>
          </cell>
          <cell r="AG71">
            <v>0</v>
          </cell>
          <cell r="AH71">
            <v>0</v>
          </cell>
          <cell r="AI71">
            <v>0</v>
          </cell>
          <cell r="AJ71">
            <v>0</v>
          </cell>
        </row>
        <row r="72">
          <cell r="B72" t="str">
            <v>2-116-SP-14</v>
          </cell>
          <cell r="G72">
            <v>0</v>
          </cell>
          <cell r="H72">
            <v>0</v>
          </cell>
          <cell r="I72">
            <v>0</v>
          </cell>
          <cell r="J72">
            <v>0</v>
          </cell>
          <cell r="K72">
            <v>0</v>
          </cell>
          <cell r="L72">
            <v>0</v>
          </cell>
          <cell r="M72">
            <v>0.5</v>
          </cell>
          <cell r="N72">
            <v>0.5</v>
          </cell>
          <cell r="O72">
            <v>0</v>
          </cell>
          <cell r="P72">
            <v>0</v>
          </cell>
          <cell r="Q72">
            <v>0</v>
          </cell>
          <cell r="R72">
            <v>0</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row>
        <row r="73">
          <cell r="B73" t="str">
            <v>2-116-SP-15</v>
          </cell>
          <cell r="G73">
            <v>0</v>
          </cell>
          <cell r="H73">
            <v>0</v>
          </cell>
          <cell r="I73">
            <v>0.5</v>
          </cell>
          <cell r="J73">
            <v>0.5</v>
          </cell>
          <cell r="K73">
            <v>0</v>
          </cell>
          <cell r="L73">
            <v>0</v>
          </cell>
          <cell r="M73">
            <v>0</v>
          </cell>
          <cell r="N73">
            <v>0</v>
          </cell>
          <cell r="O73">
            <v>0</v>
          </cell>
          <cell r="P73">
            <v>0</v>
          </cell>
          <cell r="Q73">
            <v>0</v>
          </cell>
          <cell r="R73">
            <v>0</v>
          </cell>
          <cell r="S73">
            <v>0</v>
          </cell>
          <cell r="T73">
            <v>0</v>
          </cell>
          <cell r="U73">
            <v>0</v>
          </cell>
          <cell r="V73">
            <v>0</v>
          </cell>
          <cell r="W73">
            <v>0</v>
          </cell>
          <cell r="X73">
            <v>0</v>
          </cell>
          <cell r="Y73">
            <v>0</v>
          </cell>
          <cell r="Z73">
            <v>0</v>
          </cell>
          <cell r="AA73">
            <v>0</v>
          </cell>
          <cell r="AB73">
            <v>0</v>
          </cell>
          <cell r="AC73">
            <v>0</v>
          </cell>
          <cell r="AD73">
            <v>0</v>
          </cell>
          <cell r="AE73">
            <v>0</v>
          </cell>
          <cell r="AF73">
            <v>0</v>
          </cell>
          <cell r="AG73">
            <v>0</v>
          </cell>
          <cell r="AH73">
            <v>0</v>
          </cell>
          <cell r="AI73">
            <v>0</v>
          </cell>
          <cell r="AJ73">
            <v>0</v>
          </cell>
        </row>
        <row r="74">
          <cell r="B74" t="str">
            <v>2-116-SP-16</v>
          </cell>
          <cell r="G74">
            <v>0</v>
          </cell>
          <cell r="H74">
            <v>0</v>
          </cell>
          <cell r="I74">
            <v>1</v>
          </cell>
          <cell r="J74">
            <v>0</v>
          </cell>
          <cell r="K74">
            <v>0</v>
          </cell>
          <cell r="L74">
            <v>0</v>
          </cell>
          <cell r="M74">
            <v>0</v>
          </cell>
          <cell r="N74">
            <v>0</v>
          </cell>
          <cell r="O74">
            <v>0</v>
          </cell>
          <cell r="P74">
            <v>0</v>
          </cell>
          <cell r="Q74">
            <v>0</v>
          </cell>
          <cell r="R74">
            <v>0</v>
          </cell>
          <cell r="S74">
            <v>0</v>
          </cell>
          <cell r="T74">
            <v>0</v>
          </cell>
          <cell r="U74">
            <v>0</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row>
        <row r="75">
          <cell r="B75" t="str">
            <v>2-116-SP-18</v>
          </cell>
          <cell r="G75">
            <v>0</v>
          </cell>
          <cell r="H75">
            <v>0</v>
          </cell>
          <cell r="I75">
            <v>0</v>
          </cell>
          <cell r="J75">
            <v>0</v>
          </cell>
          <cell r="K75">
            <v>1</v>
          </cell>
          <cell r="L75">
            <v>0</v>
          </cell>
          <cell r="M75">
            <v>0</v>
          </cell>
          <cell r="N75">
            <v>0</v>
          </cell>
          <cell r="O75">
            <v>0</v>
          </cell>
          <cell r="P75">
            <v>0</v>
          </cell>
          <cell r="Q75">
            <v>0</v>
          </cell>
          <cell r="R75">
            <v>0</v>
          </cell>
          <cell r="S75">
            <v>0</v>
          </cell>
          <cell r="T75">
            <v>0</v>
          </cell>
          <cell r="U75">
            <v>0</v>
          </cell>
          <cell r="V75">
            <v>0</v>
          </cell>
          <cell r="W75">
            <v>0</v>
          </cell>
          <cell r="X75">
            <v>0</v>
          </cell>
          <cell r="Y75">
            <v>0</v>
          </cell>
          <cell r="Z75">
            <v>0</v>
          </cell>
          <cell r="AA75">
            <v>0</v>
          </cell>
          <cell r="AB75">
            <v>0</v>
          </cell>
          <cell r="AC75">
            <v>0</v>
          </cell>
          <cell r="AD75">
            <v>0</v>
          </cell>
          <cell r="AE75">
            <v>0</v>
          </cell>
          <cell r="AF75">
            <v>0</v>
          </cell>
          <cell r="AG75">
            <v>0</v>
          </cell>
          <cell r="AH75">
            <v>0</v>
          </cell>
          <cell r="AI75">
            <v>0</v>
          </cell>
          <cell r="AJ75">
            <v>0</v>
          </cell>
        </row>
        <row r="76">
          <cell r="B76" t="str">
            <v>2-116-SP-17</v>
          </cell>
          <cell r="G76">
            <v>0</v>
          </cell>
          <cell r="H76">
            <v>0</v>
          </cell>
          <cell r="I76">
            <v>0</v>
          </cell>
          <cell r="J76">
            <v>1</v>
          </cell>
          <cell r="K76">
            <v>0</v>
          </cell>
          <cell r="L76">
            <v>0</v>
          </cell>
          <cell r="M76">
            <v>0</v>
          </cell>
          <cell r="N76">
            <v>0</v>
          </cell>
          <cell r="O76">
            <v>0</v>
          </cell>
          <cell r="P76">
            <v>0</v>
          </cell>
          <cell r="Q76">
            <v>0</v>
          </cell>
          <cell r="R76">
            <v>0</v>
          </cell>
          <cell r="S76">
            <v>0</v>
          </cell>
          <cell r="T76">
            <v>0</v>
          </cell>
          <cell r="U76">
            <v>0</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row>
        <row r="77">
          <cell r="B77" t="str">
            <v>2-116-SP-19</v>
          </cell>
          <cell r="G77">
            <v>0</v>
          </cell>
          <cell r="H77">
            <v>0</v>
          </cell>
          <cell r="I77">
            <v>0</v>
          </cell>
          <cell r="J77">
            <v>0.5</v>
          </cell>
          <cell r="K77">
            <v>0.5</v>
          </cell>
          <cell r="L77">
            <v>0</v>
          </cell>
          <cell r="M77">
            <v>0</v>
          </cell>
          <cell r="N77">
            <v>0</v>
          </cell>
          <cell r="O77">
            <v>0</v>
          </cell>
          <cell r="P77">
            <v>0</v>
          </cell>
          <cell r="Q77">
            <v>0</v>
          </cell>
          <cell r="R77">
            <v>0</v>
          </cell>
          <cell r="S77">
            <v>0</v>
          </cell>
          <cell r="T77">
            <v>0</v>
          </cell>
          <cell r="U77">
            <v>0</v>
          </cell>
          <cell r="V77">
            <v>0</v>
          </cell>
          <cell r="W77">
            <v>0</v>
          </cell>
          <cell r="X77">
            <v>0</v>
          </cell>
          <cell r="Y77">
            <v>0</v>
          </cell>
          <cell r="Z77">
            <v>0</v>
          </cell>
          <cell r="AA77">
            <v>0</v>
          </cell>
          <cell r="AB77">
            <v>0</v>
          </cell>
          <cell r="AC77">
            <v>0</v>
          </cell>
          <cell r="AD77">
            <v>0</v>
          </cell>
          <cell r="AE77">
            <v>0</v>
          </cell>
          <cell r="AF77">
            <v>0</v>
          </cell>
          <cell r="AG77">
            <v>0</v>
          </cell>
          <cell r="AH77">
            <v>0</v>
          </cell>
          <cell r="AI77">
            <v>0</v>
          </cell>
          <cell r="AJ77">
            <v>0</v>
          </cell>
        </row>
        <row r="78">
          <cell r="B78" t="str">
            <v>2-116-SP-20</v>
          </cell>
          <cell r="G78">
            <v>0</v>
          </cell>
          <cell r="H78">
            <v>0</v>
          </cell>
          <cell r="I78">
            <v>1</v>
          </cell>
          <cell r="J78">
            <v>0</v>
          </cell>
          <cell r="K78">
            <v>0</v>
          </cell>
          <cell r="L78">
            <v>0</v>
          </cell>
          <cell r="M78">
            <v>0</v>
          </cell>
          <cell r="N78">
            <v>0</v>
          </cell>
          <cell r="O78">
            <v>0</v>
          </cell>
          <cell r="P78">
            <v>0</v>
          </cell>
          <cell r="Q78">
            <v>0</v>
          </cell>
          <cell r="R78">
            <v>0</v>
          </cell>
          <cell r="S78">
            <v>0</v>
          </cell>
          <cell r="T78">
            <v>0</v>
          </cell>
          <cell r="U78">
            <v>0</v>
          </cell>
          <cell r="V78">
            <v>0</v>
          </cell>
          <cell r="W78">
            <v>0</v>
          </cell>
          <cell r="X78">
            <v>0</v>
          </cell>
          <cell r="Y78">
            <v>0</v>
          </cell>
          <cell r="Z78">
            <v>0</v>
          </cell>
          <cell r="AA78">
            <v>0</v>
          </cell>
          <cell r="AB78">
            <v>0</v>
          </cell>
          <cell r="AC78">
            <v>0</v>
          </cell>
          <cell r="AD78">
            <v>0</v>
          </cell>
          <cell r="AE78">
            <v>0</v>
          </cell>
          <cell r="AF78">
            <v>0</v>
          </cell>
          <cell r="AG78">
            <v>0</v>
          </cell>
          <cell r="AH78">
            <v>0</v>
          </cell>
          <cell r="AI78">
            <v>0</v>
          </cell>
          <cell r="AJ78">
            <v>0</v>
          </cell>
        </row>
        <row r="79">
          <cell r="B79" t="str">
            <v>2-116-SP-21</v>
          </cell>
          <cell r="G79">
            <v>0</v>
          </cell>
          <cell r="H79">
            <v>0</v>
          </cell>
          <cell r="I79">
            <v>1</v>
          </cell>
          <cell r="J79">
            <v>0</v>
          </cell>
          <cell r="K79">
            <v>0</v>
          </cell>
          <cell r="L79">
            <v>0</v>
          </cell>
          <cell r="M79">
            <v>0</v>
          </cell>
          <cell r="N79">
            <v>0</v>
          </cell>
          <cell r="O79">
            <v>0</v>
          </cell>
          <cell r="P79">
            <v>0</v>
          </cell>
          <cell r="Q79">
            <v>0</v>
          </cell>
          <cell r="R79">
            <v>0</v>
          </cell>
          <cell r="S79">
            <v>0</v>
          </cell>
          <cell r="T79">
            <v>0</v>
          </cell>
          <cell r="U79">
            <v>0</v>
          </cell>
          <cell r="V79">
            <v>0</v>
          </cell>
          <cell r="W79">
            <v>0</v>
          </cell>
          <cell r="X79">
            <v>0</v>
          </cell>
          <cell r="Y79">
            <v>0</v>
          </cell>
          <cell r="Z79">
            <v>0</v>
          </cell>
          <cell r="AA79">
            <v>0</v>
          </cell>
          <cell r="AB79">
            <v>0</v>
          </cell>
          <cell r="AC79">
            <v>0</v>
          </cell>
          <cell r="AD79">
            <v>0</v>
          </cell>
          <cell r="AE79">
            <v>0</v>
          </cell>
          <cell r="AF79">
            <v>0</v>
          </cell>
          <cell r="AG79">
            <v>0</v>
          </cell>
          <cell r="AH79">
            <v>0</v>
          </cell>
          <cell r="AI79">
            <v>0</v>
          </cell>
          <cell r="AJ79">
            <v>0</v>
          </cell>
        </row>
        <row r="80">
          <cell r="B80" t="str">
            <v>2-116-SP-22</v>
          </cell>
          <cell r="G80">
            <v>0</v>
          </cell>
          <cell r="H80">
            <v>0</v>
          </cell>
          <cell r="I80">
            <v>1</v>
          </cell>
          <cell r="J80">
            <v>0</v>
          </cell>
          <cell r="K80">
            <v>0</v>
          </cell>
          <cell r="L80">
            <v>0</v>
          </cell>
          <cell r="M80">
            <v>0</v>
          </cell>
          <cell r="N80">
            <v>0</v>
          </cell>
          <cell r="O80">
            <v>0</v>
          </cell>
          <cell r="P80">
            <v>0</v>
          </cell>
          <cell r="Q80">
            <v>0</v>
          </cell>
          <cell r="R80">
            <v>0</v>
          </cell>
          <cell r="S80">
            <v>0</v>
          </cell>
          <cell r="T80">
            <v>0</v>
          </cell>
          <cell r="U80">
            <v>0</v>
          </cell>
          <cell r="V80">
            <v>0</v>
          </cell>
          <cell r="W80">
            <v>0</v>
          </cell>
          <cell r="X80">
            <v>0</v>
          </cell>
          <cell r="Y80">
            <v>0</v>
          </cell>
          <cell r="Z80">
            <v>0</v>
          </cell>
          <cell r="AA80">
            <v>0</v>
          </cell>
          <cell r="AB80">
            <v>0</v>
          </cell>
          <cell r="AC80">
            <v>0</v>
          </cell>
          <cell r="AD80">
            <v>0</v>
          </cell>
          <cell r="AE80">
            <v>0</v>
          </cell>
          <cell r="AF80">
            <v>0</v>
          </cell>
          <cell r="AG80">
            <v>0</v>
          </cell>
          <cell r="AH80">
            <v>0</v>
          </cell>
          <cell r="AI80">
            <v>0</v>
          </cell>
          <cell r="AJ80">
            <v>0</v>
          </cell>
        </row>
        <row r="81">
          <cell r="B81" t="str">
            <v>2-116-SP-23</v>
          </cell>
          <cell r="G81">
            <v>0</v>
          </cell>
          <cell r="H81">
            <v>0</v>
          </cell>
          <cell r="I81">
            <v>1</v>
          </cell>
          <cell r="J81">
            <v>0</v>
          </cell>
          <cell r="K81">
            <v>0</v>
          </cell>
          <cell r="L81">
            <v>0</v>
          </cell>
          <cell r="M81">
            <v>0</v>
          </cell>
          <cell r="N81">
            <v>0</v>
          </cell>
          <cell r="O81">
            <v>0</v>
          </cell>
          <cell r="P81">
            <v>0</v>
          </cell>
          <cell r="Q81">
            <v>0</v>
          </cell>
          <cell r="R81">
            <v>0</v>
          </cell>
          <cell r="S81">
            <v>0</v>
          </cell>
          <cell r="T81">
            <v>0</v>
          </cell>
          <cell r="U81">
            <v>0</v>
          </cell>
          <cell r="V81">
            <v>0</v>
          </cell>
          <cell r="W81">
            <v>0</v>
          </cell>
          <cell r="X81">
            <v>0</v>
          </cell>
          <cell r="Y81">
            <v>0</v>
          </cell>
          <cell r="Z81">
            <v>0</v>
          </cell>
          <cell r="AA81">
            <v>0</v>
          </cell>
          <cell r="AB81">
            <v>0</v>
          </cell>
          <cell r="AC81">
            <v>0</v>
          </cell>
          <cell r="AD81">
            <v>0</v>
          </cell>
          <cell r="AE81">
            <v>0</v>
          </cell>
          <cell r="AF81">
            <v>0</v>
          </cell>
          <cell r="AG81">
            <v>0</v>
          </cell>
          <cell r="AH81">
            <v>0</v>
          </cell>
          <cell r="AI81">
            <v>0</v>
          </cell>
          <cell r="AJ81">
            <v>0</v>
          </cell>
        </row>
        <row r="82">
          <cell r="B82" t="str">
            <v>2-116-SP-24</v>
          </cell>
          <cell r="G82">
            <v>0</v>
          </cell>
          <cell r="H82">
            <v>0</v>
          </cell>
          <cell r="I82">
            <v>0</v>
          </cell>
          <cell r="J82">
            <v>0</v>
          </cell>
          <cell r="K82">
            <v>0</v>
          </cell>
          <cell r="L82">
            <v>1</v>
          </cell>
          <cell r="M82">
            <v>0</v>
          </cell>
          <cell r="N82">
            <v>0</v>
          </cell>
          <cell r="O82">
            <v>0</v>
          </cell>
          <cell r="P82">
            <v>0</v>
          </cell>
          <cell r="Q82">
            <v>0</v>
          </cell>
          <cell r="R82">
            <v>0</v>
          </cell>
          <cell r="S82">
            <v>0</v>
          </cell>
          <cell r="T82">
            <v>0</v>
          </cell>
          <cell r="U82">
            <v>0</v>
          </cell>
          <cell r="V82">
            <v>0</v>
          </cell>
          <cell r="W82">
            <v>0</v>
          </cell>
          <cell r="X82">
            <v>0</v>
          </cell>
          <cell r="Y82">
            <v>0</v>
          </cell>
          <cell r="Z82">
            <v>0</v>
          </cell>
          <cell r="AA82">
            <v>0</v>
          </cell>
          <cell r="AB82">
            <v>0</v>
          </cell>
          <cell r="AC82">
            <v>0</v>
          </cell>
          <cell r="AD82">
            <v>0</v>
          </cell>
          <cell r="AE82">
            <v>0</v>
          </cell>
          <cell r="AF82">
            <v>0</v>
          </cell>
          <cell r="AG82">
            <v>0</v>
          </cell>
          <cell r="AH82">
            <v>0</v>
          </cell>
          <cell r="AI82">
            <v>0</v>
          </cell>
          <cell r="AJ82">
            <v>0</v>
          </cell>
        </row>
        <row r="83">
          <cell r="B83" t="str">
            <v>2-116-SP-25</v>
          </cell>
          <cell r="G83">
            <v>0</v>
          </cell>
          <cell r="H83">
            <v>0</v>
          </cell>
          <cell r="I83">
            <v>0</v>
          </cell>
          <cell r="J83">
            <v>0</v>
          </cell>
          <cell r="K83">
            <v>0</v>
          </cell>
          <cell r="L83">
            <v>1</v>
          </cell>
          <cell r="M83">
            <v>0</v>
          </cell>
          <cell r="N83">
            <v>0</v>
          </cell>
          <cell r="O83">
            <v>0</v>
          </cell>
          <cell r="P83">
            <v>0</v>
          </cell>
          <cell r="Q83">
            <v>0</v>
          </cell>
          <cell r="R83">
            <v>0</v>
          </cell>
          <cell r="S83">
            <v>0</v>
          </cell>
          <cell r="T83">
            <v>0</v>
          </cell>
          <cell r="U83">
            <v>0</v>
          </cell>
          <cell r="V83">
            <v>0</v>
          </cell>
          <cell r="W83">
            <v>0</v>
          </cell>
          <cell r="X83">
            <v>0</v>
          </cell>
          <cell r="Y83">
            <v>0</v>
          </cell>
          <cell r="Z83">
            <v>0</v>
          </cell>
          <cell r="AA83">
            <v>0</v>
          </cell>
          <cell r="AB83">
            <v>0</v>
          </cell>
          <cell r="AC83">
            <v>0</v>
          </cell>
          <cell r="AD83">
            <v>0</v>
          </cell>
          <cell r="AE83">
            <v>0</v>
          </cell>
          <cell r="AF83">
            <v>0</v>
          </cell>
          <cell r="AG83">
            <v>0</v>
          </cell>
          <cell r="AH83">
            <v>0</v>
          </cell>
          <cell r="AI83">
            <v>0</v>
          </cell>
          <cell r="AJ83">
            <v>0</v>
          </cell>
        </row>
        <row r="84">
          <cell r="B84" t="str">
            <v>2-116-SP-25b</v>
          </cell>
          <cell r="G84">
            <v>0</v>
          </cell>
          <cell r="H84">
            <v>0</v>
          </cell>
          <cell r="I84">
            <v>0</v>
          </cell>
          <cell r="J84">
            <v>0</v>
          </cell>
          <cell r="K84">
            <v>1</v>
          </cell>
          <cell r="L84">
            <v>0</v>
          </cell>
          <cell r="M84">
            <v>0</v>
          </cell>
          <cell r="N84">
            <v>0</v>
          </cell>
          <cell r="O84">
            <v>0</v>
          </cell>
          <cell r="P84">
            <v>0</v>
          </cell>
          <cell r="Q84">
            <v>0</v>
          </cell>
          <cell r="R84">
            <v>0</v>
          </cell>
          <cell r="S84">
            <v>0</v>
          </cell>
          <cell r="T84">
            <v>0</v>
          </cell>
          <cell r="U84">
            <v>0</v>
          </cell>
          <cell r="V84">
            <v>0</v>
          </cell>
          <cell r="W84">
            <v>0</v>
          </cell>
          <cell r="X84">
            <v>0</v>
          </cell>
          <cell r="Y84">
            <v>0</v>
          </cell>
          <cell r="Z84">
            <v>0</v>
          </cell>
          <cell r="AA84">
            <v>0</v>
          </cell>
          <cell r="AB84">
            <v>0</v>
          </cell>
          <cell r="AC84">
            <v>0</v>
          </cell>
          <cell r="AD84">
            <v>0</v>
          </cell>
          <cell r="AE84">
            <v>0</v>
          </cell>
          <cell r="AF84">
            <v>0</v>
          </cell>
          <cell r="AG84">
            <v>0</v>
          </cell>
          <cell r="AH84">
            <v>0</v>
          </cell>
          <cell r="AI84">
            <v>0</v>
          </cell>
          <cell r="AJ84">
            <v>0</v>
          </cell>
        </row>
        <row r="85">
          <cell r="B85" t="str">
            <v>2-116-SP-26</v>
          </cell>
          <cell r="G85">
            <v>0</v>
          </cell>
          <cell r="H85">
            <v>0</v>
          </cell>
          <cell r="I85">
            <v>0</v>
          </cell>
          <cell r="J85">
            <v>0</v>
          </cell>
          <cell r="K85">
            <v>0</v>
          </cell>
          <cell r="L85">
            <v>1</v>
          </cell>
          <cell r="M85">
            <v>0</v>
          </cell>
          <cell r="N85">
            <v>0</v>
          </cell>
          <cell r="O85">
            <v>0</v>
          </cell>
          <cell r="P85">
            <v>0</v>
          </cell>
          <cell r="Q85">
            <v>0</v>
          </cell>
          <cell r="R85">
            <v>0</v>
          </cell>
          <cell r="S85">
            <v>0</v>
          </cell>
          <cell r="T85">
            <v>0</v>
          </cell>
          <cell r="U85">
            <v>0</v>
          </cell>
          <cell r="V85">
            <v>0</v>
          </cell>
          <cell r="W85">
            <v>0</v>
          </cell>
          <cell r="X85">
            <v>0</v>
          </cell>
          <cell r="Y85">
            <v>0</v>
          </cell>
          <cell r="Z85">
            <v>0</v>
          </cell>
          <cell r="AA85">
            <v>0</v>
          </cell>
          <cell r="AB85">
            <v>0</v>
          </cell>
          <cell r="AC85">
            <v>0</v>
          </cell>
          <cell r="AD85">
            <v>0</v>
          </cell>
          <cell r="AE85">
            <v>0</v>
          </cell>
          <cell r="AF85">
            <v>0</v>
          </cell>
          <cell r="AG85">
            <v>0</v>
          </cell>
          <cell r="AH85">
            <v>0</v>
          </cell>
          <cell r="AI85">
            <v>0</v>
          </cell>
          <cell r="AJ85">
            <v>0</v>
          </cell>
        </row>
        <row r="86">
          <cell r="B86" t="str">
            <v>2-116-SP-27</v>
          </cell>
          <cell r="G86">
            <v>0</v>
          </cell>
          <cell r="H86">
            <v>0</v>
          </cell>
          <cell r="I86">
            <v>0</v>
          </cell>
          <cell r="J86">
            <v>0</v>
          </cell>
          <cell r="K86">
            <v>0</v>
          </cell>
          <cell r="L86">
            <v>0</v>
          </cell>
          <cell r="M86">
            <v>0.33</v>
          </cell>
          <cell r="N86">
            <v>0.33</v>
          </cell>
          <cell r="O86">
            <v>0.34</v>
          </cell>
          <cell r="P86">
            <v>0</v>
          </cell>
          <cell r="Q86">
            <v>0</v>
          </cell>
          <cell r="R86">
            <v>0</v>
          </cell>
          <cell r="S86">
            <v>0</v>
          </cell>
          <cell r="T86">
            <v>0</v>
          </cell>
          <cell r="U86">
            <v>0</v>
          </cell>
          <cell r="V86">
            <v>0</v>
          </cell>
          <cell r="W86">
            <v>0</v>
          </cell>
          <cell r="X86">
            <v>0</v>
          </cell>
          <cell r="Y86">
            <v>0</v>
          </cell>
          <cell r="Z86">
            <v>0</v>
          </cell>
          <cell r="AA86">
            <v>0</v>
          </cell>
          <cell r="AB86">
            <v>0</v>
          </cell>
          <cell r="AC86">
            <v>0</v>
          </cell>
          <cell r="AD86">
            <v>0</v>
          </cell>
          <cell r="AE86">
            <v>0</v>
          </cell>
          <cell r="AF86">
            <v>0</v>
          </cell>
          <cell r="AG86">
            <v>0</v>
          </cell>
          <cell r="AH86">
            <v>0</v>
          </cell>
          <cell r="AI86">
            <v>0</v>
          </cell>
          <cell r="AJ86">
            <v>0</v>
          </cell>
        </row>
        <row r="87">
          <cell r="B87" t="str">
            <v>2-116-SP-28</v>
          </cell>
          <cell r="G87">
            <v>0</v>
          </cell>
          <cell r="H87">
            <v>0</v>
          </cell>
          <cell r="I87">
            <v>0</v>
          </cell>
          <cell r="J87">
            <v>0</v>
          </cell>
          <cell r="K87">
            <v>0</v>
          </cell>
          <cell r="L87">
            <v>0.5</v>
          </cell>
          <cell r="M87">
            <v>0.5</v>
          </cell>
          <cell r="N87">
            <v>0</v>
          </cell>
          <cell r="O87">
            <v>0</v>
          </cell>
          <cell r="P87">
            <v>0</v>
          </cell>
          <cell r="Q87">
            <v>0</v>
          </cell>
          <cell r="R87">
            <v>0</v>
          </cell>
          <cell r="S87">
            <v>0</v>
          </cell>
          <cell r="T87">
            <v>0</v>
          </cell>
          <cell r="U87">
            <v>0</v>
          </cell>
          <cell r="V87">
            <v>0</v>
          </cell>
          <cell r="W87">
            <v>0</v>
          </cell>
          <cell r="X87">
            <v>0</v>
          </cell>
          <cell r="Y87">
            <v>0</v>
          </cell>
          <cell r="Z87">
            <v>0</v>
          </cell>
          <cell r="AA87">
            <v>0</v>
          </cell>
          <cell r="AB87">
            <v>0</v>
          </cell>
          <cell r="AC87">
            <v>0</v>
          </cell>
          <cell r="AD87">
            <v>0</v>
          </cell>
          <cell r="AE87">
            <v>0</v>
          </cell>
          <cell r="AF87">
            <v>0</v>
          </cell>
          <cell r="AG87">
            <v>0</v>
          </cell>
          <cell r="AH87">
            <v>0</v>
          </cell>
          <cell r="AI87">
            <v>0</v>
          </cell>
          <cell r="AJ87">
            <v>0</v>
          </cell>
        </row>
        <row r="88">
          <cell r="B88" t="str">
            <v>2-116-SP-29</v>
          </cell>
          <cell r="G88">
            <v>0</v>
          </cell>
          <cell r="H88">
            <v>0</v>
          </cell>
          <cell r="I88">
            <v>0</v>
          </cell>
          <cell r="J88">
            <v>0</v>
          </cell>
          <cell r="K88">
            <v>0</v>
          </cell>
          <cell r="L88">
            <v>0.8</v>
          </cell>
          <cell r="M88">
            <v>0.1</v>
          </cell>
          <cell r="N88">
            <v>0.1</v>
          </cell>
          <cell r="O88">
            <v>0</v>
          </cell>
          <cell r="P88">
            <v>0</v>
          </cell>
          <cell r="Q88">
            <v>0</v>
          </cell>
          <cell r="R88">
            <v>0</v>
          </cell>
          <cell r="S88">
            <v>0</v>
          </cell>
          <cell r="T88">
            <v>0</v>
          </cell>
          <cell r="U88">
            <v>0</v>
          </cell>
          <cell r="V88">
            <v>0</v>
          </cell>
          <cell r="W88">
            <v>0</v>
          </cell>
          <cell r="X88">
            <v>0</v>
          </cell>
          <cell r="Y88">
            <v>0</v>
          </cell>
          <cell r="Z88">
            <v>0</v>
          </cell>
          <cell r="AA88">
            <v>0</v>
          </cell>
          <cell r="AB88">
            <v>0</v>
          </cell>
          <cell r="AC88">
            <v>0</v>
          </cell>
          <cell r="AD88">
            <v>0</v>
          </cell>
          <cell r="AE88">
            <v>0</v>
          </cell>
          <cell r="AF88">
            <v>0</v>
          </cell>
          <cell r="AG88">
            <v>0</v>
          </cell>
          <cell r="AH88">
            <v>0</v>
          </cell>
          <cell r="AI88">
            <v>0</v>
          </cell>
          <cell r="AJ88">
            <v>0</v>
          </cell>
        </row>
        <row r="89">
          <cell r="B89" t="str">
            <v>2-116-SP-30</v>
          </cell>
          <cell r="G89">
            <v>0</v>
          </cell>
          <cell r="H89">
            <v>0</v>
          </cell>
          <cell r="I89">
            <v>0</v>
          </cell>
          <cell r="J89">
            <v>0</v>
          </cell>
          <cell r="K89">
            <v>1</v>
          </cell>
          <cell r="L89">
            <v>0</v>
          </cell>
          <cell r="M89">
            <v>0</v>
          </cell>
          <cell r="N89">
            <v>0</v>
          </cell>
          <cell r="O89">
            <v>0</v>
          </cell>
          <cell r="P89">
            <v>0</v>
          </cell>
          <cell r="Q89">
            <v>0</v>
          </cell>
          <cell r="R89">
            <v>0</v>
          </cell>
          <cell r="S89">
            <v>0</v>
          </cell>
          <cell r="T89">
            <v>0</v>
          </cell>
          <cell r="U89">
            <v>0</v>
          </cell>
          <cell r="V89">
            <v>0</v>
          </cell>
          <cell r="W89">
            <v>0</v>
          </cell>
          <cell r="X89">
            <v>0</v>
          </cell>
          <cell r="Y89">
            <v>0</v>
          </cell>
          <cell r="Z89">
            <v>0</v>
          </cell>
          <cell r="AA89">
            <v>0</v>
          </cell>
          <cell r="AB89">
            <v>0</v>
          </cell>
          <cell r="AC89">
            <v>0</v>
          </cell>
          <cell r="AD89">
            <v>0</v>
          </cell>
          <cell r="AE89">
            <v>0</v>
          </cell>
          <cell r="AF89">
            <v>0</v>
          </cell>
          <cell r="AG89">
            <v>0</v>
          </cell>
          <cell r="AH89">
            <v>0</v>
          </cell>
          <cell r="AI89">
            <v>0</v>
          </cell>
          <cell r="AJ89">
            <v>0</v>
          </cell>
        </row>
        <row r="90">
          <cell r="B90" t="str">
            <v>2-116-SP-31</v>
          </cell>
          <cell r="G90">
            <v>0</v>
          </cell>
          <cell r="H90">
            <v>0</v>
          </cell>
          <cell r="I90">
            <v>0</v>
          </cell>
          <cell r="J90">
            <v>1</v>
          </cell>
          <cell r="K90">
            <v>0</v>
          </cell>
          <cell r="L90">
            <v>0</v>
          </cell>
          <cell r="M90">
            <v>0</v>
          </cell>
          <cell r="N90">
            <v>0</v>
          </cell>
          <cell r="O90">
            <v>0</v>
          </cell>
          <cell r="P90">
            <v>0</v>
          </cell>
          <cell r="Q90">
            <v>0</v>
          </cell>
          <cell r="R90">
            <v>0</v>
          </cell>
          <cell r="S90">
            <v>0</v>
          </cell>
          <cell r="T90">
            <v>0</v>
          </cell>
          <cell r="U90">
            <v>0</v>
          </cell>
          <cell r="V90">
            <v>0</v>
          </cell>
          <cell r="W90">
            <v>0</v>
          </cell>
          <cell r="X90">
            <v>0</v>
          </cell>
          <cell r="Y90">
            <v>0</v>
          </cell>
          <cell r="Z90">
            <v>0</v>
          </cell>
          <cell r="AA90">
            <v>0</v>
          </cell>
          <cell r="AB90">
            <v>0</v>
          </cell>
          <cell r="AC90">
            <v>0</v>
          </cell>
          <cell r="AD90">
            <v>0</v>
          </cell>
          <cell r="AE90">
            <v>0</v>
          </cell>
          <cell r="AF90">
            <v>0</v>
          </cell>
          <cell r="AG90">
            <v>0</v>
          </cell>
          <cell r="AH90">
            <v>0</v>
          </cell>
          <cell r="AI90">
            <v>0</v>
          </cell>
          <cell r="AJ90">
            <v>0</v>
          </cell>
        </row>
        <row r="91">
          <cell r="B91" t="str">
            <v>2-116-SP-32</v>
          </cell>
          <cell r="G91">
            <v>0</v>
          </cell>
          <cell r="H91">
            <v>0</v>
          </cell>
          <cell r="I91">
            <v>1</v>
          </cell>
          <cell r="J91">
            <v>0</v>
          </cell>
          <cell r="K91">
            <v>0</v>
          </cell>
          <cell r="L91">
            <v>0</v>
          </cell>
          <cell r="M91">
            <v>0</v>
          </cell>
          <cell r="N91">
            <v>0</v>
          </cell>
          <cell r="O91">
            <v>0</v>
          </cell>
          <cell r="P91">
            <v>0</v>
          </cell>
          <cell r="Q91">
            <v>0</v>
          </cell>
          <cell r="R91">
            <v>0</v>
          </cell>
          <cell r="S91">
            <v>0</v>
          </cell>
          <cell r="T91">
            <v>0</v>
          </cell>
          <cell r="U91">
            <v>0</v>
          </cell>
          <cell r="V91">
            <v>0</v>
          </cell>
          <cell r="W91">
            <v>0</v>
          </cell>
          <cell r="X91">
            <v>0</v>
          </cell>
          <cell r="Y91">
            <v>0</v>
          </cell>
          <cell r="Z91">
            <v>0</v>
          </cell>
          <cell r="AA91">
            <v>0</v>
          </cell>
          <cell r="AB91">
            <v>0</v>
          </cell>
          <cell r="AC91">
            <v>0</v>
          </cell>
          <cell r="AD91">
            <v>0</v>
          </cell>
          <cell r="AE91">
            <v>0</v>
          </cell>
          <cell r="AF91">
            <v>0</v>
          </cell>
          <cell r="AG91">
            <v>0</v>
          </cell>
          <cell r="AH91">
            <v>0</v>
          </cell>
          <cell r="AI91">
            <v>0</v>
          </cell>
          <cell r="AJ91">
            <v>0</v>
          </cell>
        </row>
        <row r="92">
          <cell r="B92" t="str">
            <v>2-116-SP-33</v>
          </cell>
          <cell r="G92">
            <v>0</v>
          </cell>
          <cell r="H92">
            <v>0</v>
          </cell>
          <cell r="I92">
            <v>1</v>
          </cell>
          <cell r="J92">
            <v>0</v>
          </cell>
          <cell r="K92">
            <v>0</v>
          </cell>
          <cell r="L92">
            <v>0</v>
          </cell>
          <cell r="M92">
            <v>0</v>
          </cell>
          <cell r="N92">
            <v>0</v>
          </cell>
          <cell r="O92">
            <v>0</v>
          </cell>
          <cell r="P92">
            <v>0</v>
          </cell>
          <cell r="Q92">
            <v>0</v>
          </cell>
          <cell r="R92">
            <v>0</v>
          </cell>
          <cell r="S92">
            <v>0</v>
          </cell>
          <cell r="T92">
            <v>0</v>
          </cell>
          <cell r="U92">
            <v>0</v>
          </cell>
          <cell r="V92">
            <v>0</v>
          </cell>
          <cell r="W92">
            <v>0</v>
          </cell>
          <cell r="X92">
            <v>0</v>
          </cell>
          <cell r="Y92">
            <v>0</v>
          </cell>
          <cell r="Z92">
            <v>0</v>
          </cell>
          <cell r="AA92">
            <v>0</v>
          </cell>
          <cell r="AB92">
            <v>0</v>
          </cell>
          <cell r="AC92">
            <v>0</v>
          </cell>
          <cell r="AD92">
            <v>0</v>
          </cell>
          <cell r="AE92">
            <v>0</v>
          </cell>
          <cell r="AF92">
            <v>0</v>
          </cell>
          <cell r="AG92">
            <v>0</v>
          </cell>
          <cell r="AH92">
            <v>0</v>
          </cell>
          <cell r="AI92">
            <v>0</v>
          </cell>
          <cell r="AJ92">
            <v>0</v>
          </cell>
        </row>
        <row r="93">
          <cell r="B93">
            <v>0</v>
          </cell>
          <cell r="G93">
            <v>0</v>
          </cell>
          <cell r="H93">
            <v>0</v>
          </cell>
          <cell r="I93">
            <v>0</v>
          </cell>
          <cell r="J93">
            <v>0</v>
          </cell>
          <cell r="K93">
            <v>0</v>
          </cell>
          <cell r="L93">
            <v>0</v>
          </cell>
          <cell r="M93">
            <v>0</v>
          </cell>
          <cell r="N93">
            <v>0</v>
          </cell>
          <cell r="O93">
            <v>0</v>
          </cell>
          <cell r="P93">
            <v>0</v>
          </cell>
          <cell r="Q93">
            <v>0</v>
          </cell>
          <cell r="R93">
            <v>0</v>
          </cell>
          <cell r="S93">
            <v>0</v>
          </cell>
          <cell r="T93">
            <v>0</v>
          </cell>
          <cell r="U93">
            <v>0</v>
          </cell>
          <cell r="V93">
            <v>0</v>
          </cell>
          <cell r="W93">
            <v>0</v>
          </cell>
          <cell r="X93">
            <v>0</v>
          </cell>
          <cell r="Y93">
            <v>0</v>
          </cell>
          <cell r="Z93">
            <v>0</v>
          </cell>
          <cell r="AA93">
            <v>0</v>
          </cell>
          <cell r="AB93">
            <v>0</v>
          </cell>
          <cell r="AC93">
            <v>0</v>
          </cell>
          <cell r="AD93">
            <v>0</v>
          </cell>
          <cell r="AE93">
            <v>0</v>
          </cell>
          <cell r="AF93">
            <v>0</v>
          </cell>
          <cell r="AG93">
            <v>0</v>
          </cell>
          <cell r="AH93">
            <v>0</v>
          </cell>
          <cell r="AI93">
            <v>0</v>
          </cell>
          <cell r="AJ93">
            <v>0</v>
          </cell>
        </row>
        <row r="94">
          <cell r="B94" t="str">
            <v>BR101</v>
          </cell>
          <cell r="G94">
            <v>0</v>
          </cell>
          <cell r="H94">
            <v>0</v>
          </cell>
          <cell r="I94">
            <v>4.0527846249027895E-3</v>
          </cell>
          <cell r="J94">
            <v>1.4063949875025895E-3</v>
          </cell>
          <cell r="K94">
            <v>3.4486428212847552E-2</v>
          </cell>
          <cell r="L94">
            <v>0.11337598498009299</v>
          </cell>
          <cell r="M94">
            <v>4.8097958690543181E-2</v>
          </cell>
          <cell r="N94">
            <v>0.1211302218756405</v>
          </cell>
          <cell r="O94">
            <v>0.15787839886841634</v>
          </cell>
          <cell r="P94">
            <v>3.9919616570628688E-2</v>
          </cell>
          <cell r="Q94">
            <v>7.302775681689419E-2</v>
          </cell>
          <cell r="R94">
            <v>0.1006360627316905</v>
          </cell>
          <cell r="S94">
            <v>0.10377412518956891</v>
          </cell>
          <cell r="T94">
            <v>6.8856290054371355E-2</v>
          </cell>
          <cell r="U94">
            <v>1.8169341757300569E-3</v>
          </cell>
          <cell r="V94">
            <v>5.4529183565490069E-4</v>
          </cell>
          <cell r="W94">
            <v>2.3396194251592818E-4</v>
          </cell>
          <cell r="X94">
            <v>2.3396194251592818E-4</v>
          </cell>
          <cell r="Y94">
            <v>2.621222031194876E-2</v>
          </cell>
          <cell r="Z94">
            <v>5.2108950560482904E-2</v>
          </cell>
          <cell r="AA94">
            <v>5.2206655628052184E-2</v>
          </cell>
          <cell r="AB94">
            <v>0</v>
          </cell>
          <cell r="AC94">
            <v>0</v>
          </cell>
          <cell r="AD94">
            <v>0</v>
          </cell>
          <cell r="AE94">
            <v>0</v>
          </cell>
          <cell r="AF94">
            <v>0</v>
          </cell>
          <cell r="AG94">
            <v>0</v>
          </cell>
          <cell r="AH94">
            <v>0</v>
          </cell>
          <cell r="AI94">
            <v>0</v>
          </cell>
          <cell r="AJ94">
            <v>0</v>
          </cell>
        </row>
        <row r="95">
          <cell r="B95" t="str">
            <v>BR116r</v>
          </cell>
          <cell r="G95">
            <v>0</v>
          </cell>
          <cell r="H95">
            <v>0</v>
          </cell>
          <cell r="I95">
            <v>0.17786631129399194</v>
          </cell>
          <cell r="J95">
            <v>0.14041773333483898</v>
          </cell>
          <cell r="K95">
            <v>0.2023466322600066</v>
          </cell>
          <cell r="L95">
            <v>0.11326389936231214</v>
          </cell>
          <cell r="M95">
            <v>3.9519981922008854E-2</v>
          </cell>
          <cell r="N95">
            <v>3.9941512034068857E-2</v>
          </cell>
          <cell r="O95">
            <v>2.0909426952436905E-4</v>
          </cell>
          <cell r="P95">
            <v>2.8251221947930862E-2</v>
          </cell>
          <cell r="Q95">
            <v>0.11847322049327633</v>
          </cell>
          <cell r="R95">
            <v>0</v>
          </cell>
          <cell r="S95">
            <v>1.0540425464831845E-3</v>
          </cell>
          <cell r="T95">
            <v>4.4434887036182017E-3</v>
          </cell>
          <cell r="U95">
            <v>8.8516342015523844E-2</v>
          </cell>
          <cell r="V95">
            <v>1.355188765185978E-2</v>
          </cell>
          <cell r="W95">
            <v>0</v>
          </cell>
          <cell r="X95">
            <v>0</v>
          </cell>
          <cell r="Y95">
            <v>3.2144632164556181E-2</v>
          </cell>
          <cell r="Z95">
            <v>0</v>
          </cell>
          <cell r="AA95">
            <v>0</v>
          </cell>
          <cell r="AB95">
            <v>0</v>
          </cell>
          <cell r="AC95">
            <v>0</v>
          </cell>
          <cell r="AD95">
            <v>0</v>
          </cell>
          <cell r="AE95">
            <v>0</v>
          </cell>
          <cell r="AF95">
            <v>0</v>
          </cell>
          <cell r="AG95">
            <v>0</v>
          </cell>
          <cell r="AH95">
            <v>0</v>
          </cell>
          <cell r="AI95">
            <v>0</v>
          </cell>
          <cell r="AJ95">
            <v>0</v>
          </cell>
        </row>
        <row r="96">
          <cell r="B96" t="str">
            <v>BR116m</v>
          </cell>
          <cell r="G96">
            <v>0</v>
          </cell>
          <cell r="H96">
            <v>0</v>
          </cell>
          <cell r="I96">
            <v>0</v>
          </cell>
          <cell r="J96">
            <v>0</v>
          </cell>
          <cell r="K96">
            <v>0</v>
          </cell>
          <cell r="L96">
            <v>0</v>
          </cell>
          <cell r="M96">
            <v>0</v>
          </cell>
          <cell r="N96">
            <v>0</v>
          </cell>
          <cell r="O96">
            <v>0</v>
          </cell>
          <cell r="P96">
            <v>0</v>
          </cell>
          <cell r="Q96">
            <v>0</v>
          </cell>
          <cell r="R96">
            <v>0</v>
          </cell>
          <cell r="S96">
            <v>0</v>
          </cell>
          <cell r="T96">
            <v>0</v>
          </cell>
          <cell r="U96">
            <v>0</v>
          </cell>
          <cell r="V96">
            <v>0</v>
          </cell>
          <cell r="W96">
            <v>0</v>
          </cell>
          <cell r="X96">
            <v>0</v>
          </cell>
          <cell r="Y96">
            <v>0</v>
          </cell>
          <cell r="Z96">
            <v>0</v>
          </cell>
          <cell r="AA96">
            <v>0</v>
          </cell>
          <cell r="AB96">
            <v>0</v>
          </cell>
          <cell r="AC96">
            <v>0</v>
          </cell>
          <cell r="AD96">
            <v>0</v>
          </cell>
          <cell r="AE96">
            <v>0</v>
          </cell>
          <cell r="AF96">
            <v>0</v>
          </cell>
          <cell r="AG96">
            <v>0</v>
          </cell>
          <cell r="AH96">
            <v>0</v>
          </cell>
          <cell r="AI96">
            <v>0</v>
          </cell>
          <cell r="AJ96">
            <v>0</v>
          </cell>
        </row>
        <row r="97">
          <cell r="B97" t="str">
            <v>a1</v>
          </cell>
          <cell r="G97">
            <v>1</v>
          </cell>
          <cell r="H97">
            <v>0</v>
          </cell>
          <cell r="I97">
            <v>0</v>
          </cell>
          <cell r="J97">
            <v>0</v>
          </cell>
          <cell r="K97">
            <v>0</v>
          </cell>
          <cell r="L97">
            <v>0</v>
          </cell>
          <cell r="M97">
            <v>0</v>
          </cell>
          <cell r="N97">
            <v>0</v>
          </cell>
          <cell r="O97">
            <v>0</v>
          </cell>
          <cell r="P97">
            <v>0</v>
          </cell>
          <cell r="Q97">
            <v>0</v>
          </cell>
          <cell r="R97">
            <v>0</v>
          </cell>
          <cell r="S97">
            <v>0</v>
          </cell>
          <cell r="T97">
            <v>0</v>
          </cell>
          <cell r="U97">
            <v>0</v>
          </cell>
          <cell r="V97">
            <v>0</v>
          </cell>
          <cell r="W97">
            <v>0</v>
          </cell>
          <cell r="X97">
            <v>0</v>
          </cell>
          <cell r="Y97">
            <v>0</v>
          </cell>
          <cell r="Z97">
            <v>0</v>
          </cell>
          <cell r="AA97">
            <v>0</v>
          </cell>
          <cell r="AB97">
            <v>0</v>
          </cell>
          <cell r="AC97">
            <v>0</v>
          </cell>
          <cell r="AD97">
            <v>0</v>
          </cell>
          <cell r="AE97">
            <v>0</v>
          </cell>
          <cell r="AF97">
            <v>0</v>
          </cell>
          <cell r="AG97">
            <v>0</v>
          </cell>
          <cell r="AH97">
            <v>0</v>
          </cell>
          <cell r="AI97">
            <v>0</v>
          </cell>
          <cell r="AJ97">
            <v>0</v>
          </cell>
        </row>
        <row r="98">
          <cell r="B98" t="str">
            <v>a2</v>
          </cell>
          <cell r="G98">
            <v>0</v>
          </cell>
          <cell r="H98">
            <v>1</v>
          </cell>
          <cell r="I98">
            <v>0</v>
          </cell>
          <cell r="J98">
            <v>0</v>
          </cell>
          <cell r="K98">
            <v>0</v>
          </cell>
          <cell r="L98">
            <v>0</v>
          </cell>
          <cell r="M98">
            <v>0</v>
          </cell>
          <cell r="N98">
            <v>0</v>
          </cell>
          <cell r="O98">
            <v>0</v>
          </cell>
          <cell r="P98">
            <v>0</v>
          </cell>
          <cell r="Q98">
            <v>0</v>
          </cell>
          <cell r="R98">
            <v>0</v>
          </cell>
          <cell r="S98">
            <v>0</v>
          </cell>
          <cell r="T98">
            <v>0</v>
          </cell>
          <cell r="U98">
            <v>0</v>
          </cell>
          <cell r="V98">
            <v>0</v>
          </cell>
          <cell r="W98">
            <v>0</v>
          </cell>
          <cell r="X98">
            <v>0</v>
          </cell>
          <cell r="Y98">
            <v>0</v>
          </cell>
          <cell r="Z98">
            <v>0</v>
          </cell>
          <cell r="AA98">
            <v>0</v>
          </cell>
          <cell r="AB98">
            <v>0</v>
          </cell>
          <cell r="AC98">
            <v>0</v>
          </cell>
          <cell r="AD98">
            <v>0</v>
          </cell>
          <cell r="AE98">
            <v>0</v>
          </cell>
          <cell r="AF98">
            <v>0</v>
          </cell>
          <cell r="AG98">
            <v>0</v>
          </cell>
          <cell r="AH98">
            <v>0</v>
          </cell>
          <cell r="AI98">
            <v>0</v>
          </cell>
          <cell r="AJ98">
            <v>0</v>
          </cell>
        </row>
        <row r="99">
          <cell r="B99" t="str">
            <v>a3</v>
          </cell>
          <cell r="G99">
            <v>0</v>
          </cell>
          <cell r="H99">
            <v>0</v>
          </cell>
          <cell r="I99">
            <v>1</v>
          </cell>
          <cell r="J99">
            <v>0</v>
          </cell>
          <cell r="K99">
            <v>0</v>
          </cell>
          <cell r="L99">
            <v>0</v>
          </cell>
          <cell r="M99">
            <v>0</v>
          </cell>
          <cell r="N99">
            <v>0</v>
          </cell>
          <cell r="O99">
            <v>0</v>
          </cell>
          <cell r="P99">
            <v>0</v>
          </cell>
          <cell r="Q99">
            <v>0</v>
          </cell>
          <cell r="R99">
            <v>0</v>
          </cell>
          <cell r="S99">
            <v>0</v>
          </cell>
          <cell r="T99">
            <v>0</v>
          </cell>
          <cell r="U99">
            <v>0</v>
          </cell>
          <cell r="V99">
            <v>0</v>
          </cell>
          <cell r="W99">
            <v>0</v>
          </cell>
          <cell r="X99">
            <v>0</v>
          </cell>
          <cell r="Y99">
            <v>0</v>
          </cell>
          <cell r="Z99">
            <v>0</v>
          </cell>
          <cell r="AA99">
            <v>0</v>
          </cell>
          <cell r="AB99">
            <v>0</v>
          </cell>
          <cell r="AC99">
            <v>0</v>
          </cell>
          <cell r="AD99">
            <v>0</v>
          </cell>
          <cell r="AE99">
            <v>0</v>
          </cell>
          <cell r="AF99">
            <v>0</v>
          </cell>
          <cell r="AG99">
            <v>0</v>
          </cell>
          <cell r="AH99">
            <v>0</v>
          </cell>
          <cell r="AI99">
            <v>0</v>
          </cell>
          <cell r="AJ99">
            <v>0</v>
          </cell>
        </row>
        <row r="100">
          <cell r="B100" t="str">
            <v>a4</v>
          </cell>
          <cell r="G100">
            <v>0</v>
          </cell>
          <cell r="H100">
            <v>0</v>
          </cell>
          <cell r="I100">
            <v>0</v>
          </cell>
          <cell r="J100">
            <v>1</v>
          </cell>
          <cell r="K100">
            <v>0</v>
          </cell>
          <cell r="L100">
            <v>0</v>
          </cell>
          <cell r="M100">
            <v>0</v>
          </cell>
          <cell r="N100">
            <v>0</v>
          </cell>
          <cell r="O100">
            <v>0</v>
          </cell>
          <cell r="P100">
            <v>0</v>
          </cell>
          <cell r="Q100">
            <v>0</v>
          </cell>
          <cell r="R100">
            <v>0</v>
          </cell>
          <cell r="S100">
            <v>0</v>
          </cell>
          <cell r="T100">
            <v>0</v>
          </cell>
          <cell r="U100">
            <v>0</v>
          </cell>
          <cell r="V100">
            <v>0</v>
          </cell>
          <cell r="W100">
            <v>0</v>
          </cell>
          <cell r="X100">
            <v>0</v>
          </cell>
          <cell r="Y100">
            <v>0</v>
          </cell>
          <cell r="Z100">
            <v>0</v>
          </cell>
          <cell r="AA100">
            <v>0</v>
          </cell>
          <cell r="AB100">
            <v>0</v>
          </cell>
          <cell r="AC100">
            <v>0</v>
          </cell>
          <cell r="AD100">
            <v>0</v>
          </cell>
          <cell r="AE100">
            <v>0</v>
          </cell>
          <cell r="AF100">
            <v>0</v>
          </cell>
          <cell r="AG100">
            <v>0</v>
          </cell>
          <cell r="AH100">
            <v>0</v>
          </cell>
          <cell r="AI100">
            <v>0</v>
          </cell>
          <cell r="AJ100">
            <v>0</v>
          </cell>
        </row>
        <row r="101">
          <cell r="B101" t="str">
            <v>a5</v>
          </cell>
          <cell r="G101">
            <v>0</v>
          </cell>
          <cell r="H101">
            <v>0</v>
          </cell>
          <cell r="I101">
            <v>0</v>
          </cell>
          <cell r="J101">
            <v>0</v>
          </cell>
          <cell r="K101">
            <v>1</v>
          </cell>
          <cell r="L101">
            <v>0</v>
          </cell>
          <cell r="M101">
            <v>0</v>
          </cell>
          <cell r="N101">
            <v>0</v>
          </cell>
          <cell r="O101">
            <v>0</v>
          </cell>
          <cell r="P101">
            <v>0</v>
          </cell>
          <cell r="Q101">
            <v>0</v>
          </cell>
          <cell r="R101">
            <v>0</v>
          </cell>
          <cell r="S101">
            <v>0</v>
          </cell>
          <cell r="T101">
            <v>0</v>
          </cell>
          <cell r="U101">
            <v>0</v>
          </cell>
          <cell r="V101">
            <v>0</v>
          </cell>
          <cell r="W101">
            <v>0</v>
          </cell>
          <cell r="X101">
            <v>0</v>
          </cell>
          <cell r="Y101">
            <v>0</v>
          </cell>
          <cell r="Z101">
            <v>0</v>
          </cell>
          <cell r="AA101">
            <v>0</v>
          </cell>
          <cell r="AB101">
            <v>0</v>
          </cell>
          <cell r="AC101">
            <v>0</v>
          </cell>
          <cell r="AD101">
            <v>0</v>
          </cell>
          <cell r="AE101">
            <v>0</v>
          </cell>
          <cell r="AF101">
            <v>0</v>
          </cell>
          <cell r="AG101">
            <v>0</v>
          </cell>
          <cell r="AH101">
            <v>0</v>
          </cell>
          <cell r="AI101">
            <v>0</v>
          </cell>
          <cell r="AJ101">
            <v>0</v>
          </cell>
        </row>
        <row r="102">
          <cell r="B102" t="str">
            <v>a6</v>
          </cell>
          <cell r="G102">
            <v>0</v>
          </cell>
          <cell r="H102">
            <v>0</v>
          </cell>
          <cell r="I102">
            <v>0</v>
          </cell>
          <cell r="J102">
            <v>0</v>
          </cell>
          <cell r="K102">
            <v>0</v>
          </cell>
          <cell r="L102">
            <v>1</v>
          </cell>
          <cell r="M102">
            <v>0</v>
          </cell>
          <cell r="N102">
            <v>0</v>
          </cell>
          <cell r="O102">
            <v>0</v>
          </cell>
          <cell r="P102">
            <v>0</v>
          </cell>
          <cell r="Q102">
            <v>0</v>
          </cell>
          <cell r="R102">
            <v>0</v>
          </cell>
          <cell r="S102">
            <v>0</v>
          </cell>
          <cell r="T102">
            <v>0</v>
          </cell>
          <cell r="U102">
            <v>0</v>
          </cell>
          <cell r="V102">
            <v>0</v>
          </cell>
          <cell r="W102">
            <v>0</v>
          </cell>
          <cell r="X102">
            <v>0</v>
          </cell>
          <cell r="Y102">
            <v>0</v>
          </cell>
          <cell r="Z102">
            <v>0</v>
          </cell>
          <cell r="AA102">
            <v>0</v>
          </cell>
          <cell r="AB102">
            <v>0</v>
          </cell>
          <cell r="AC102">
            <v>0</v>
          </cell>
          <cell r="AD102">
            <v>0</v>
          </cell>
          <cell r="AE102">
            <v>0</v>
          </cell>
          <cell r="AF102">
            <v>0</v>
          </cell>
          <cell r="AG102">
            <v>0</v>
          </cell>
          <cell r="AH102">
            <v>0</v>
          </cell>
          <cell r="AI102">
            <v>0</v>
          </cell>
          <cell r="AJ102">
            <v>0</v>
          </cell>
        </row>
        <row r="103">
          <cell r="B103" t="str">
            <v>a7</v>
          </cell>
          <cell r="G103">
            <v>0</v>
          </cell>
          <cell r="H103">
            <v>0</v>
          </cell>
          <cell r="I103">
            <v>0</v>
          </cell>
          <cell r="J103">
            <v>0</v>
          </cell>
          <cell r="K103">
            <v>0</v>
          </cell>
          <cell r="L103">
            <v>0</v>
          </cell>
          <cell r="M103">
            <v>1</v>
          </cell>
          <cell r="N103">
            <v>0</v>
          </cell>
          <cell r="O103">
            <v>0</v>
          </cell>
          <cell r="P103">
            <v>0</v>
          </cell>
          <cell r="Q103">
            <v>0</v>
          </cell>
          <cell r="R103">
            <v>0</v>
          </cell>
          <cell r="S103">
            <v>0</v>
          </cell>
          <cell r="T103">
            <v>0</v>
          </cell>
          <cell r="U103">
            <v>0</v>
          </cell>
          <cell r="V103">
            <v>0</v>
          </cell>
          <cell r="W103">
            <v>0</v>
          </cell>
          <cell r="X103">
            <v>0</v>
          </cell>
          <cell r="Y103">
            <v>0</v>
          </cell>
          <cell r="Z103">
            <v>0</v>
          </cell>
          <cell r="AA103">
            <v>0</v>
          </cell>
          <cell r="AB103">
            <v>0</v>
          </cell>
          <cell r="AC103">
            <v>0</v>
          </cell>
          <cell r="AD103">
            <v>0</v>
          </cell>
          <cell r="AE103">
            <v>0</v>
          </cell>
          <cell r="AF103">
            <v>0</v>
          </cell>
          <cell r="AG103">
            <v>0</v>
          </cell>
          <cell r="AH103">
            <v>0</v>
          </cell>
          <cell r="AI103">
            <v>0</v>
          </cell>
          <cell r="AJ103">
            <v>0</v>
          </cell>
        </row>
        <row r="104">
          <cell r="B104" t="str">
            <v>a8</v>
          </cell>
          <cell r="G104">
            <v>0</v>
          </cell>
          <cell r="H104">
            <v>0</v>
          </cell>
          <cell r="I104">
            <v>0</v>
          </cell>
          <cell r="J104">
            <v>0</v>
          </cell>
          <cell r="K104">
            <v>0</v>
          </cell>
          <cell r="L104">
            <v>0</v>
          </cell>
          <cell r="M104">
            <v>0</v>
          </cell>
          <cell r="N104">
            <v>1</v>
          </cell>
          <cell r="O104">
            <v>0</v>
          </cell>
          <cell r="P104">
            <v>0</v>
          </cell>
          <cell r="Q104">
            <v>0</v>
          </cell>
          <cell r="R104">
            <v>0</v>
          </cell>
          <cell r="S104">
            <v>0</v>
          </cell>
          <cell r="T104">
            <v>0</v>
          </cell>
          <cell r="U104">
            <v>0</v>
          </cell>
          <cell r="V104">
            <v>0</v>
          </cell>
          <cell r="W104">
            <v>0</v>
          </cell>
          <cell r="X104">
            <v>0</v>
          </cell>
          <cell r="Y104">
            <v>0</v>
          </cell>
          <cell r="Z104">
            <v>0</v>
          </cell>
          <cell r="AA104">
            <v>0</v>
          </cell>
          <cell r="AB104">
            <v>0</v>
          </cell>
          <cell r="AC104">
            <v>0</v>
          </cell>
          <cell r="AD104">
            <v>0</v>
          </cell>
          <cell r="AE104">
            <v>0</v>
          </cell>
          <cell r="AF104">
            <v>0</v>
          </cell>
          <cell r="AG104">
            <v>0</v>
          </cell>
          <cell r="AH104">
            <v>0</v>
          </cell>
          <cell r="AI104">
            <v>0</v>
          </cell>
          <cell r="AJ104">
            <v>0</v>
          </cell>
        </row>
        <row r="105">
          <cell r="B105" t="str">
            <v>a9</v>
          </cell>
          <cell r="G105">
            <v>0</v>
          </cell>
          <cell r="H105">
            <v>0</v>
          </cell>
          <cell r="I105">
            <v>0</v>
          </cell>
          <cell r="J105">
            <v>0</v>
          </cell>
          <cell r="K105">
            <v>0</v>
          </cell>
          <cell r="L105">
            <v>0</v>
          </cell>
          <cell r="M105">
            <v>0</v>
          </cell>
          <cell r="N105">
            <v>0</v>
          </cell>
          <cell r="O105">
            <v>1</v>
          </cell>
          <cell r="P105">
            <v>0</v>
          </cell>
          <cell r="Q105">
            <v>0</v>
          </cell>
          <cell r="R105">
            <v>0</v>
          </cell>
          <cell r="S105">
            <v>0</v>
          </cell>
          <cell r="T105">
            <v>0</v>
          </cell>
          <cell r="U105">
            <v>0</v>
          </cell>
          <cell r="V105">
            <v>0</v>
          </cell>
          <cell r="W105">
            <v>0</v>
          </cell>
          <cell r="X105">
            <v>0</v>
          </cell>
          <cell r="Y105">
            <v>0</v>
          </cell>
          <cell r="Z105">
            <v>0</v>
          </cell>
          <cell r="AA105">
            <v>0</v>
          </cell>
          <cell r="AB105">
            <v>0</v>
          </cell>
          <cell r="AC105">
            <v>0</v>
          </cell>
          <cell r="AD105">
            <v>0</v>
          </cell>
          <cell r="AE105">
            <v>0</v>
          </cell>
          <cell r="AF105">
            <v>0</v>
          </cell>
          <cell r="AG105">
            <v>0</v>
          </cell>
          <cell r="AH105">
            <v>0</v>
          </cell>
          <cell r="AI105">
            <v>0</v>
          </cell>
          <cell r="AJ105">
            <v>0</v>
          </cell>
        </row>
        <row r="106">
          <cell r="B106" t="str">
            <v>a10</v>
          </cell>
          <cell r="G106">
            <v>0</v>
          </cell>
          <cell r="H106">
            <v>0</v>
          </cell>
          <cell r="I106">
            <v>0</v>
          </cell>
          <cell r="J106">
            <v>0</v>
          </cell>
          <cell r="K106">
            <v>0</v>
          </cell>
          <cell r="L106">
            <v>0</v>
          </cell>
          <cell r="M106">
            <v>0</v>
          </cell>
          <cell r="N106">
            <v>0</v>
          </cell>
          <cell r="O106">
            <v>0</v>
          </cell>
          <cell r="P106">
            <v>1</v>
          </cell>
          <cell r="Q106">
            <v>0</v>
          </cell>
          <cell r="R106">
            <v>0</v>
          </cell>
          <cell r="S106">
            <v>0</v>
          </cell>
          <cell r="T106">
            <v>0</v>
          </cell>
          <cell r="U106">
            <v>0</v>
          </cell>
          <cell r="V106">
            <v>0</v>
          </cell>
          <cell r="W106">
            <v>0</v>
          </cell>
          <cell r="X106">
            <v>0</v>
          </cell>
          <cell r="Y106">
            <v>0</v>
          </cell>
          <cell r="Z106">
            <v>0</v>
          </cell>
          <cell r="AA106">
            <v>0</v>
          </cell>
          <cell r="AB106">
            <v>0</v>
          </cell>
          <cell r="AC106">
            <v>0</v>
          </cell>
          <cell r="AD106">
            <v>0</v>
          </cell>
          <cell r="AE106">
            <v>0</v>
          </cell>
          <cell r="AF106">
            <v>0</v>
          </cell>
          <cell r="AG106">
            <v>0</v>
          </cell>
          <cell r="AH106">
            <v>0</v>
          </cell>
          <cell r="AI106">
            <v>0</v>
          </cell>
          <cell r="AJ106">
            <v>0</v>
          </cell>
        </row>
        <row r="107">
          <cell r="B107" t="str">
            <v>a11</v>
          </cell>
          <cell r="G107">
            <v>0</v>
          </cell>
          <cell r="H107">
            <v>0</v>
          </cell>
          <cell r="I107">
            <v>0</v>
          </cell>
          <cell r="J107">
            <v>0</v>
          </cell>
          <cell r="K107">
            <v>0</v>
          </cell>
          <cell r="L107">
            <v>0</v>
          </cell>
          <cell r="M107">
            <v>0</v>
          </cell>
          <cell r="N107">
            <v>0</v>
          </cell>
          <cell r="O107">
            <v>0</v>
          </cell>
          <cell r="P107">
            <v>0</v>
          </cell>
          <cell r="Q107">
            <v>1</v>
          </cell>
          <cell r="R107">
            <v>0</v>
          </cell>
          <cell r="S107">
            <v>0</v>
          </cell>
          <cell r="T107">
            <v>0</v>
          </cell>
          <cell r="U107">
            <v>0</v>
          </cell>
          <cell r="V107">
            <v>0</v>
          </cell>
          <cell r="W107">
            <v>0</v>
          </cell>
          <cell r="X107">
            <v>0</v>
          </cell>
          <cell r="Y107">
            <v>0</v>
          </cell>
          <cell r="Z107">
            <v>0</v>
          </cell>
          <cell r="AA107">
            <v>0</v>
          </cell>
          <cell r="AB107">
            <v>0</v>
          </cell>
          <cell r="AC107">
            <v>0</v>
          </cell>
          <cell r="AD107">
            <v>0</v>
          </cell>
          <cell r="AE107">
            <v>0</v>
          </cell>
          <cell r="AF107">
            <v>0</v>
          </cell>
          <cell r="AG107">
            <v>0</v>
          </cell>
          <cell r="AH107">
            <v>0</v>
          </cell>
          <cell r="AI107">
            <v>0</v>
          </cell>
          <cell r="AJ107">
            <v>0</v>
          </cell>
        </row>
        <row r="108">
          <cell r="B108" t="str">
            <v>a12</v>
          </cell>
          <cell r="G108">
            <v>0</v>
          </cell>
          <cell r="H108">
            <v>0</v>
          </cell>
          <cell r="I108">
            <v>0</v>
          </cell>
          <cell r="J108">
            <v>0</v>
          </cell>
          <cell r="K108">
            <v>0</v>
          </cell>
          <cell r="L108">
            <v>0</v>
          </cell>
          <cell r="M108">
            <v>0</v>
          </cell>
          <cell r="N108">
            <v>0</v>
          </cell>
          <cell r="O108">
            <v>0</v>
          </cell>
          <cell r="P108">
            <v>0</v>
          </cell>
          <cell r="Q108">
            <v>0</v>
          </cell>
          <cell r="R108">
            <v>1</v>
          </cell>
          <cell r="S108">
            <v>0</v>
          </cell>
          <cell r="T108">
            <v>0</v>
          </cell>
          <cell r="U108">
            <v>0</v>
          </cell>
          <cell r="V108">
            <v>0</v>
          </cell>
          <cell r="W108">
            <v>0</v>
          </cell>
          <cell r="X108">
            <v>0</v>
          </cell>
          <cell r="Y108">
            <v>0</v>
          </cell>
          <cell r="Z108">
            <v>0</v>
          </cell>
          <cell r="AA108">
            <v>0</v>
          </cell>
          <cell r="AB108">
            <v>0</v>
          </cell>
          <cell r="AC108">
            <v>0</v>
          </cell>
          <cell r="AD108">
            <v>0</v>
          </cell>
          <cell r="AE108">
            <v>0</v>
          </cell>
          <cell r="AF108">
            <v>0</v>
          </cell>
          <cell r="AG108">
            <v>0</v>
          </cell>
          <cell r="AH108">
            <v>0</v>
          </cell>
          <cell r="AI108">
            <v>0</v>
          </cell>
          <cell r="AJ108">
            <v>0</v>
          </cell>
        </row>
        <row r="109">
          <cell r="B109" t="str">
            <v>a13</v>
          </cell>
          <cell r="G109">
            <v>0</v>
          </cell>
          <cell r="H109">
            <v>0</v>
          </cell>
          <cell r="I109">
            <v>0</v>
          </cell>
          <cell r="J109">
            <v>0</v>
          </cell>
          <cell r="K109">
            <v>0</v>
          </cell>
          <cell r="L109">
            <v>0</v>
          </cell>
          <cell r="M109">
            <v>0</v>
          </cell>
          <cell r="N109">
            <v>0</v>
          </cell>
          <cell r="O109">
            <v>0</v>
          </cell>
          <cell r="P109">
            <v>0</v>
          </cell>
          <cell r="Q109">
            <v>0</v>
          </cell>
          <cell r="R109">
            <v>0</v>
          </cell>
          <cell r="S109">
            <v>1</v>
          </cell>
          <cell r="T109">
            <v>0</v>
          </cell>
          <cell r="U109">
            <v>0</v>
          </cell>
          <cell r="V109">
            <v>0</v>
          </cell>
          <cell r="W109">
            <v>0</v>
          </cell>
          <cell r="X109">
            <v>0</v>
          </cell>
          <cell r="Y109">
            <v>0</v>
          </cell>
          <cell r="Z109">
            <v>0</v>
          </cell>
          <cell r="AA109">
            <v>0</v>
          </cell>
          <cell r="AB109">
            <v>0</v>
          </cell>
          <cell r="AC109">
            <v>0</v>
          </cell>
          <cell r="AD109">
            <v>0</v>
          </cell>
          <cell r="AE109">
            <v>0</v>
          </cell>
          <cell r="AF109">
            <v>0</v>
          </cell>
          <cell r="AG109">
            <v>0</v>
          </cell>
          <cell r="AH109">
            <v>0</v>
          </cell>
          <cell r="AI109">
            <v>0</v>
          </cell>
          <cell r="AJ109">
            <v>0</v>
          </cell>
        </row>
        <row r="110">
          <cell r="B110" t="str">
            <v>a14</v>
          </cell>
          <cell r="G110">
            <v>0</v>
          </cell>
          <cell r="H110">
            <v>0</v>
          </cell>
          <cell r="I110">
            <v>0</v>
          </cell>
          <cell r="J110">
            <v>0</v>
          </cell>
          <cell r="K110">
            <v>0</v>
          </cell>
          <cell r="L110">
            <v>0</v>
          </cell>
          <cell r="M110">
            <v>0</v>
          </cell>
          <cell r="N110">
            <v>0</v>
          </cell>
          <cell r="O110">
            <v>0</v>
          </cell>
          <cell r="P110">
            <v>0</v>
          </cell>
          <cell r="Q110">
            <v>0</v>
          </cell>
          <cell r="R110">
            <v>0</v>
          </cell>
          <cell r="S110">
            <v>0</v>
          </cell>
          <cell r="T110">
            <v>1</v>
          </cell>
          <cell r="U110">
            <v>0</v>
          </cell>
          <cell r="V110">
            <v>0</v>
          </cell>
          <cell r="W110">
            <v>0</v>
          </cell>
          <cell r="X110">
            <v>0</v>
          </cell>
          <cell r="Y110">
            <v>0</v>
          </cell>
          <cell r="Z110">
            <v>0</v>
          </cell>
          <cell r="AA110">
            <v>0</v>
          </cell>
          <cell r="AB110">
            <v>0</v>
          </cell>
          <cell r="AC110">
            <v>0</v>
          </cell>
          <cell r="AD110">
            <v>0</v>
          </cell>
          <cell r="AE110">
            <v>0</v>
          </cell>
          <cell r="AF110">
            <v>0</v>
          </cell>
          <cell r="AG110">
            <v>0</v>
          </cell>
          <cell r="AH110">
            <v>0</v>
          </cell>
          <cell r="AI110">
            <v>0</v>
          </cell>
          <cell r="AJ110">
            <v>0</v>
          </cell>
        </row>
        <row r="111">
          <cell r="B111" t="str">
            <v>a15</v>
          </cell>
          <cell r="G111">
            <v>0</v>
          </cell>
          <cell r="H111">
            <v>0</v>
          </cell>
          <cell r="I111">
            <v>0</v>
          </cell>
          <cell r="J111">
            <v>0</v>
          </cell>
          <cell r="K111">
            <v>0</v>
          </cell>
          <cell r="L111">
            <v>0</v>
          </cell>
          <cell r="M111">
            <v>0</v>
          </cell>
          <cell r="N111">
            <v>0</v>
          </cell>
          <cell r="O111">
            <v>0</v>
          </cell>
          <cell r="P111">
            <v>0</v>
          </cell>
          <cell r="Q111">
            <v>0</v>
          </cell>
          <cell r="R111">
            <v>0</v>
          </cell>
          <cell r="S111">
            <v>0</v>
          </cell>
          <cell r="T111">
            <v>0</v>
          </cell>
          <cell r="U111">
            <v>1</v>
          </cell>
          <cell r="V111">
            <v>0</v>
          </cell>
          <cell r="W111">
            <v>0</v>
          </cell>
          <cell r="X111">
            <v>0</v>
          </cell>
          <cell r="Y111">
            <v>0</v>
          </cell>
          <cell r="Z111">
            <v>0</v>
          </cell>
          <cell r="AA111">
            <v>0</v>
          </cell>
          <cell r="AB111">
            <v>0</v>
          </cell>
          <cell r="AC111">
            <v>0</v>
          </cell>
          <cell r="AD111">
            <v>0</v>
          </cell>
          <cell r="AE111">
            <v>0</v>
          </cell>
          <cell r="AF111">
            <v>0</v>
          </cell>
          <cell r="AG111">
            <v>0</v>
          </cell>
          <cell r="AH111">
            <v>0</v>
          </cell>
          <cell r="AI111">
            <v>0</v>
          </cell>
          <cell r="AJ111">
            <v>0</v>
          </cell>
        </row>
        <row r="112">
          <cell r="B112" t="str">
            <v>a16</v>
          </cell>
          <cell r="G112">
            <v>0</v>
          </cell>
          <cell r="H112">
            <v>0</v>
          </cell>
          <cell r="I112">
            <v>0</v>
          </cell>
          <cell r="J112">
            <v>0</v>
          </cell>
          <cell r="K112">
            <v>0</v>
          </cell>
          <cell r="L112">
            <v>0</v>
          </cell>
          <cell r="M112">
            <v>0</v>
          </cell>
          <cell r="N112">
            <v>0</v>
          </cell>
          <cell r="O112">
            <v>0</v>
          </cell>
          <cell r="P112">
            <v>0</v>
          </cell>
          <cell r="Q112">
            <v>0</v>
          </cell>
          <cell r="R112">
            <v>0</v>
          </cell>
          <cell r="S112">
            <v>0</v>
          </cell>
          <cell r="T112">
            <v>0</v>
          </cell>
          <cell r="U112">
            <v>0</v>
          </cell>
          <cell r="V112">
            <v>1</v>
          </cell>
          <cell r="W112">
            <v>0</v>
          </cell>
          <cell r="X112">
            <v>0</v>
          </cell>
          <cell r="Y112">
            <v>0</v>
          </cell>
          <cell r="Z112">
            <v>0</v>
          </cell>
          <cell r="AA112">
            <v>0</v>
          </cell>
          <cell r="AB112">
            <v>0</v>
          </cell>
          <cell r="AC112">
            <v>0</v>
          </cell>
          <cell r="AD112">
            <v>0</v>
          </cell>
          <cell r="AE112">
            <v>0</v>
          </cell>
          <cell r="AF112">
            <v>0</v>
          </cell>
          <cell r="AG112">
            <v>0</v>
          </cell>
          <cell r="AH112">
            <v>0</v>
          </cell>
          <cell r="AI112">
            <v>0</v>
          </cell>
          <cell r="AJ112">
            <v>0</v>
          </cell>
        </row>
        <row r="113">
          <cell r="B113" t="str">
            <v>a17</v>
          </cell>
          <cell r="G113">
            <v>0</v>
          </cell>
          <cell r="H113">
            <v>0</v>
          </cell>
          <cell r="I113">
            <v>0</v>
          </cell>
          <cell r="J113">
            <v>0</v>
          </cell>
          <cell r="K113">
            <v>0</v>
          </cell>
          <cell r="L113">
            <v>0</v>
          </cell>
          <cell r="M113">
            <v>0</v>
          </cell>
          <cell r="N113">
            <v>0</v>
          </cell>
          <cell r="O113">
            <v>0</v>
          </cell>
          <cell r="P113">
            <v>0</v>
          </cell>
          <cell r="Q113">
            <v>0</v>
          </cell>
          <cell r="R113">
            <v>0</v>
          </cell>
          <cell r="S113">
            <v>0</v>
          </cell>
          <cell r="T113">
            <v>0</v>
          </cell>
          <cell r="U113">
            <v>0</v>
          </cell>
          <cell r="V113">
            <v>0</v>
          </cell>
          <cell r="W113">
            <v>1</v>
          </cell>
          <cell r="X113">
            <v>0</v>
          </cell>
          <cell r="Y113">
            <v>0</v>
          </cell>
          <cell r="Z113">
            <v>0</v>
          </cell>
          <cell r="AA113">
            <v>0</v>
          </cell>
          <cell r="AB113">
            <v>0</v>
          </cell>
          <cell r="AC113">
            <v>0</v>
          </cell>
          <cell r="AD113">
            <v>0</v>
          </cell>
          <cell r="AE113">
            <v>0</v>
          </cell>
          <cell r="AF113">
            <v>0</v>
          </cell>
          <cell r="AG113">
            <v>0</v>
          </cell>
          <cell r="AH113">
            <v>0</v>
          </cell>
          <cell r="AI113">
            <v>0</v>
          </cell>
          <cell r="AJ113">
            <v>0</v>
          </cell>
        </row>
        <row r="114">
          <cell r="B114" t="str">
            <v>a18</v>
          </cell>
          <cell r="G114">
            <v>0</v>
          </cell>
          <cell r="H114">
            <v>0</v>
          </cell>
          <cell r="I114">
            <v>0</v>
          </cell>
          <cell r="J114">
            <v>0</v>
          </cell>
          <cell r="K114">
            <v>0</v>
          </cell>
          <cell r="L114">
            <v>0</v>
          </cell>
          <cell r="M114">
            <v>0</v>
          </cell>
          <cell r="N114">
            <v>0</v>
          </cell>
          <cell r="O114">
            <v>0</v>
          </cell>
          <cell r="P114">
            <v>0</v>
          </cell>
          <cell r="Q114">
            <v>0</v>
          </cell>
          <cell r="R114">
            <v>0</v>
          </cell>
          <cell r="S114">
            <v>0</v>
          </cell>
          <cell r="T114">
            <v>0</v>
          </cell>
          <cell r="U114">
            <v>0</v>
          </cell>
          <cell r="V114">
            <v>0</v>
          </cell>
          <cell r="W114">
            <v>0</v>
          </cell>
          <cell r="X114">
            <v>1</v>
          </cell>
          <cell r="Y114">
            <v>0</v>
          </cell>
          <cell r="Z114">
            <v>0</v>
          </cell>
          <cell r="AA114">
            <v>0</v>
          </cell>
          <cell r="AB114">
            <v>0</v>
          </cell>
          <cell r="AC114">
            <v>0</v>
          </cell>
          <cell r="AD114">
            <v>0</v>
          </cell>
          <cell r="AE114">
            <v>0</v>
          </cell>
          <cell r="AF114">
            <v>0</v>
          </cell>
          <cell r="AG114">
            <v>0</v>
          </cell>
          <cell r="AH114">
            <v>0</v>
          </cell>
          <cell r="AI114">
            <v>0</v>
          </cell>
          <cell r="AJ114">
            <v>0</v>
          </cell>
        </row>
        <row r="115">
          <cell r="B115" t="str">
            <v>a19</v>
          </cell>
          <cell r="G115">
            <v>0</v>
          </cell>
          <cell r="H115">
            <v>0</v>
          </cell>
          <cell r="I115">
            <v>0</v>
          </cell>
          <cell r="J115">
            <v>0</v>
          </cell>
          <cell r="K115">
            <v>0</v>
          </cell>
          <cell r="L115">
            <v>0</v>
          </cell>
          <cell r="M115">
            <v>0</v>
          </cell>
          <cell r="N115">
            <v>0</v>
          </cell>
          <cell r="O115">
            <v>0</v>
          </cell>
          <cell r="P115">
            <v>0</v>
          </cell>
          <cell r="Q115">
            <v>0</v>
          </cell>
          <cell r="R115">
            <v>0</v>
          </cell>
          <cell r="S115">
            <v>0</v>
          </cell>
          <cell r="T115">
            <v>0</v>
          </cell>
          <cell r="U115">
            <v>0</v>
          </cell>
          <cell r="V115">
            <v>0</v>
          </cell>
          <cell r="W115">
            <v>0</v>
          </cell>
          <cell r="X115">
            <v>0</v>
          </cell>
          <cell r="Y115">
            <v>1</v>
          </cell>
          <cell r="Z115">
            <v>0</v>
          </cell>
          <cell r="AA115">
            <v>0</v>
          </cell>
          <cell r="AB115">
            <v>0</v>
          </cell>
          <cell r="AC115">
            <v>0</v>
          </cell>
          <cell r="AD115">
            <v>0</v>
          </cell>
          <cell r="AE115">
            <v>0</v>
          </cell>
          <cell r="AF115">
            <v>0</v>
          </cell>
          <cell r="AG115">
            <v>0</v>
          </cell>
          <cell r="AH115">
            <v>0</v>
          </cell>
          <cell r="AI115">
            <v>0</v>
          </cell>
          <cell r="AJ115">
            <v>0</v>
          </cell>
        </row>
        <row r="116">
          <cell r="B116" t="str">
            <v>a20</v>
          </cell>
          <cell r="G116">
            <v>0</v>
          </cell>
          <cell r="H116">
            <v>0</v>
          </cell>
          <cell r="I116">
            <v>0</v>
          </cell>
          <cell r="J116">
            <v>0</v>
          </cell>
          <cell r="K116">
            <v>0</v>
          </cell>
          <cell r="L116">
            <v>0</v>
          </cell>
          <cell r="M116">
            <v>0</v>
          </cell>
          <cell r="N116">
            <v>0</v>
          </cell>
          <cell r="O116">
            <v>0</v>
          </cell>
          <cell r="P116">
            <v>0</v>
          </cell>
          <cell r="Q116">
            <v>0</v>
          </cell>
          <cell r="R116">
            <v>0</v>
          </cell>
          <cell r="S116">
            <v>0</v>
          </cell>
          <cell r="T116">
            <v>0</v>
          </cell>
          <cell r="U116">
            <v>0</v>
          </cell>
          <cell r="V116">
            <v>0</v>
          </cell>
          <cell r="W116">
            <v>0</v>
          </cell>
          <cell r="X116">
            <v>0</v>
          </cell>
          <cell r="Y116">
            <v>0</v>
          </cell>
          <cell r="Z116">
            <v>1</v>
          </cell>
          <cell r="AA116">
            <v>0</v>
          </cell>
          <cell r="AB116">
            <v>0</v>
          </cell>
          <cell r="AC116">
            <v>0</v>
          </cell>
          <cell r="AD116">
            <v>0</v>
          </cell>
          <cell r="AE116">
            <v>0</v>
          </cell>
          <cell r="AF116">
            <v>0</v>
          </cell>
          <cell r="AG116">
            <v>0</v>
          </cell>
          <cell r="AH116">
            <v>0</v>
          </cell>
          <cell r="AI116">
            <v>0</v>
          </cell>
          <cell r="AJ116">
            <v>0</v>
          </cell>
        </row>
        <row r="117">
          <cell r="B117" t="str">
            <v>a21</v>
          </cell>
          <cell r="G117">
            <v>0</v>
          </cell>
          <cell r="H117">
            <v>0</v>
          </cell>
          <cell r="I117">
            <v>0</v>
          </cell>
          <cell r="J117">
            <v>0</v>
          </cell>
          <cell r="K117">
            <v>0</v>
          </cell>
          <cell r="L117">
            <v>0</v>
          </cell>
          <cell r="M117">
            <v>0</v>
          </cell>
          <cell r="N117">
            <v>0</v>
          </cell>
          <cell r="O117">
            <v>0</v>
          </cell>
          <cell r="P117">
            <v>0</v>
          </cell>
          <cell r="Q117">
            <v>0</v>
          </cell>
          <cell r="R117">
            <v>0</v>
          </cell>
          <cell r="S117">
            <v>0</v>
          </cell>
          <cell r="T117">
            <v>0</v>
          </cell>
          <cell r="U117">
            <v>0</v>
          </cell>
          <cell r="V117">
            <v>0</v>
          </cell>
          <cell r="W117">
            <v>0</v>
          </cell>
          <cell r="X117">
            <v>0</v>
          </cell>
          <cell r="Y117">
            <v>0</v>
          </cell>
          <cell r="Z117">
            <v>0</v>
          </cell>
          <cell r="AA117">
            <v>1</v>
          </cell>
          <cell r="AB117">
            <v>0</v>
          </cell>
          <cell r="AC117">
            <v>0</v>
          </cell>
          <cell r="AD117">
            <v>0</v>
          </cell>
          <cell r="AE117">
            <v>0</v>
          </cell>
          <cell r="AF117">
            <v>0</v>
          </cell>
          <cell r="AG117">
            <v>0</v>
          </cell>
          <cell r="AH117">
            <v>0</v>
          </cell>
          <cell r="AI117">
            <v>0</v>
          </cell>
          <cell r="AJ117">
            <v>0</v>
          </cell>
        </row>
        <row r="118">
          <cell r="B118" t="str">
            <v>a22</v>
          </cell>
          <cell r="G118">
            <v>0</v>
          </cell>
          <cell r="H118">
            <v>0</v>
          </cell>
          <cell r="I118">
            <v>0</v>
          </cell>
          <cell r="J118">
            <v>0</v>
          </cell>
          <cell r="K118">
            <v>0</v>
          </cell>
          <cell r="L118">
            <v>0</v>
          </cell>
          <cell r="M118">
            <v>0</v>
          </cell>
          <cell r="N118">
            <v>0</v>
          </cell>
          <cell r="O118">
            <v>0</v>
          </cell>
          <cell r="P118">
            <v>0</v>
          </cell>
          <cell r="Q118">
            <v>0</v>
          </cell>
          <cell r="R118">
            <v>0</v>
          </cell>
          <cell r="S118">
            <v>0</v>
          </cell>
          <cell r="T118">
            <v>0</v>
          </cell>
          <cell r="U118">
            <v>0</v>
          </cell>
          <cell r="V118">
            <v>0</v>
          </cell>
          <cell r="W118">
            <v>0</v>
          </cell>
          <cell r="X118">
            <v>0</v>
          </cell>
          <cell r="Y118">
            <v>0</v>
          </cell>
          <cell r="Z118">
            <v>0</v>
          </cell>
          <cell r="AA118">
            <v>0</v>
          </cell>
          <cell r="AB118">
            <v>1</v>
          </cell>
          <cell r="AC118">
            <v>0</v>
          </cell>
          <cell r="AD118">
            <v>0</v>
          </cell>
          <cell r="AE118">
            <v>0</v>
          </cell>
          <cell r="AF118">
            <v>0</v>
          </cell>
          <cell r="AG118">
            <v>0</v>
          </cell>
          <cell r="AH118">
            <v>0</v>
          </cell>
          <cell r="AI118">
            <v>0</v>
          </cell>
          <cell r="AJ118">
            <v>0</v>
          </cell>
        </row>
        <row r="119">
          <cell r="B119" t="str">
            <v>a23</v>
          </cell>
          <cell r="G119">
            <v>0</v>
          </cell>
          <cell r="H119">
            <v>0</v>
          </cell>
          <cell r="I119">
            <v>0</v>
          </cell>
          <cell r="J119">
            <v>0</v>
          </cell>
          <cell r="K119">
            <v>0</v>
          </cell>
          <cell r="L119">
            <v>0</v>
          </cell>
          <cell r="M119">
            <v>0</v>
          </cell>
          <cell r="N119">
            <v>0</v>
          </cell>
          <cell r="O119">
            <v>0</v>
          </cell>
          <cell r="P119">
            <v>0</v>
          </cell>
          <cell r="Q119">
            <v>0</v>
          </cell>
          <cell r="R119">
            <v>0</v>
          </cell>
          <cell r="S119">
            <v>0</v>
          </cell>
          <cell r="T119">
            <v>0</v>
          </cell>
          <cell r="U119">
            <v>0</v>
          </cell>
          <cell r="V119">
            <v>0</v>
          </cell>
          <cell r="W119">
            <v>0</v>
          </cell>
          <cell r="X119">
            <v>0</v>
          </cell>
          <cell r="Y119">
            <v>0</v>
          </cell>
          <cell r="Z119">
            <v>0</v>
          </cell>
          <cell r="AA119">
            <v>0</v>
          </cell>
          <cell r="AB119">
            <v>0</v>
          </cell>
          <cell r="AC119">
            <v>1</v>
          </cell>
          <cell r="AD119">
            <v>0</v>
          </cell>
          <cell r="AE119">
            <v>0</v>
          </cell>
          <cell r="AF119">
            <v>0</v>
          </cell>
          <cell r="AG119">
            <v>0</v>
          </cell>
          <cell r="AH119">
            <v>0</v>
          </cell>
          <cell r="AI119">
            <v>0</v>
          </cell>
          <cell r="AJ119">
            <v>0</v>
          </cell>
        </row>
        <row r="120">
          <cell r="B120" t="str">
            <v>a24</v>
          </cell>
          <cell r="G120">
            <v>0</v>
          </cell>
          <cell r="H120">
            <v>0</v>
          </cell>
          <cell r="I120">
            <v>0</v>
          </cell>
          <cell r="J120">
            <v>0</v>
          </cell>
          <cell r="K120">
            <v>0</v>
          </cell>
          <cell r="L120">
            <v>0</v>
          </cell>
          <cell r="M120">
            <v>0</v>
          </cell>
          <cell r="N120">
            <v>0</v>
          </cell>
          <cell r="O120">
            <v>0</v>
          </cell>
          <cell r="P120">
            <v>0</v>
          </cell>
          <cell r="Q120">
            <v>0</v>
          </cell>
          <cell r="R120">
            <v>0</v>
          </cell>
          <cell r="S120">
            <v>0</v>
          </cell>
          <cell r="T120">
            <v>0</v>
          </cell>
          <cell r="U120">
            <v>0</v>
          </cell>
          <cell r="V120">
            <v>0</v>
          </cell>
          <cell r="W120">
            <v>0</v>
          </cell>
          <cell r="X120">
            <v>0</v>
          </cell>
          <cell r="Y120">
            <v>0</v>
          </cell>
          <cell r="Z120">
            <v>0</v>
          </cell>
          <cell r="AA120">
            <v>0</v>
          </cell>
          <cell r="AB120">
            <v>0</v>
          </cell>
          <cell r="AC120">
            <v>0</v>
          </cell>
          <cell r="AD120">
            <v>1</v>
          </cell>
          <cell r="AE120">
            <v>0</v>
          </cell>
          <cell r="AF120">
            <v>0</v>
          </cell>
          <cell r="AG120">
            <v>0</v>
          </cell>
          <cell r="AH120">
            <v>0</v>
          </cell>
          <cell r="AI120">
            <v>0</v>
          </cell>
          <cell r="AJ120">
            <v>0</v>
          </cell>
        </row>
        <row r="121">
          <cell r="B121" t="str">
            <v>a25</v>
          </cell>
          <cell r="G121">
            <v>0</v>
          </cell>
          <cell r="H121">
            <v>0</v>
          </cell>
          <cell r="I121">
            <v>0</v>
          </cell>
          <cell r="J121">
            <v>0</v>
          </cell>
          <cell r="K121">
            <v>0</v>
          </cell>
          <cell r="L121">
            <v>0</v>
          </cell>
          <cell r="M121">
            <v>0</v>
          </cell>
          <cell r="N121">
            <v>0</v>
          </cell>
          <cell r="O121">
            <v>0</v>
          </cell>
          <cell r="P121">
            <v>0</v>
          </cell>
          <cell r="Q121">
            <v>0</v>
          </cell>
          <cell r="R121">
            <v>0</v>
          </cell>
          <cell r="S121">
            <v>0</v>
          </cell>
          <cell r="T121">
            <v>0</v>
          </cell>
          <cell r="U121">
            <v>0</v>
          </cell>
          <cell r="V121">
            <v>0</v>
          </cell>
          <cell r="W121">
            <v>0</v>
          </cell>
          <cell r="X121">
            <v>0</v>
          </cell>
          <cell r="Y121">
            <v>0</v>
          </cell>
          <cell r="Z121">
            <v>0</v>
          </cell>
          <cell r="AA121">
            <v>0</v>
          </cell>
          <cell r="AB121">
            <v>0</v>
          </cell>
          <cell r="AC121">
            <v>0</v>
          </cell>
          <cell r="AD121">
            <v>0</v>
          </cell>
          <cell r="AE121">
            <v>1</v>
          </cell>
          <cell r="AF121">
            <v>0</v>
          </cell>
          <cell r="AG121">
            <v>0</v>
          </cell>
          <cell r="AH121">
            <v>0</v>
          </cell>
          <cell r="AI121">
            <v>0</v>
          </cell>
          <cell r="AJ121">
            <v>0</v>
          </cell>
        </row>
        <row r="122">
          <cell r="B122" t="str">
            <v>a26</v>
          </cell>
          <cell r="G122">
            <v>0</v>
          </cell>
          <cell r="H122">
            <v>0</v>
          </cell>
          <cell r="I122">
            <v>0</v>
          </cell>
          <cell r="J122">
            <v>0</v>
          </cell>
          <cell r="K122">
            <v>0</v>
          </cell>
          <cell r="L122">
            <v>0</v>
          </cell>
          <cell r="M122">
            <v>0</v>
          </cell>
          <cell r="N122">
            <v>0</v>
          </cell>
          <cell r="O122">
            <v>0</v>
          </cell>
          <cell r="P122">
            <v>0</v>
          </cell>
          <cell r="Q122">
            <v>0</v>
          </cell>
          <cell r="R122">
            <v>0</v>
          </cell>
          <cell r="S122">
            <v>0</v>
          </cell>
          <cell r="T122">
            <v>0</v>
          </cell>
          <cell r="U122">
            <v>0</v>
          </cell>
          <cell r="V122">
            <v>0</v>
          </cell>
          <cell r="W122">
            <v>0</v>
          </cell>
          <cell r="X122">
            <v>0</v>
          </cell>
          <cell r="Y122">
            <v>0</v>
          </cell>
          <cell r="Z122">
            <v>0</v>
          </cell>
          <cell r="AA122">
            <v>0</v>
          </cell>
          <cell r="AB122">
            <v>0</v>
          </cell>
          <cell r="AC122">
            <v>0</v>
          </cell>
          <cell r="AD122">
            <v>0</v>
          </cell>
          <cell r="AE122">
            <v>0</v>
          </cell>
          <cell r="AF122">
            <v>1</v>
          </cell>
          <cell r="AG122">
            <v>0</v>
          </cell>
          <cell r="AH122">
            <v>0</v>
          </cell>
          <cell r="AI122">
            <v>0</v>
          </cell>
          <cell r="AJ122">
            <v>0</v>
          </cell>
        </row>
        <row r="123">
          <cell r="B123" t="str">
            <v>a27</v>
          </cell>
          <cell r="G123">
            <v>0</v>
          </cell>
          <cell r="H123">
            <v>0</v>
          </cell>
          <cell r="I123">
            <v>0</v>
          </cell>
          <cell r="J123">
            <v>0</v>
          </cell>
          <cell r="K123">
            <v>0</v>
          </cell>
          <cell r="L123">
            <v>0</v>
          </cell>
          <cell r="M123">
            <v>0</v>
          </cell>
          <cell r="N123">
            <v>0</v>
          </cell>
          <cell r="O123">
            <v>0</v>
          </cell>
          <cell r="P123">
            <v>0</v>
          </cell>
          <cell r="Q123">
            <v>0</v>
          </cell>
          <cell r="R123">
            <v>0</v>
          </cell>
          <cell r="S123">
            <v>0</v>
          </cell>
          <cell r="T123">
            <v>0</v>
          </cell>
          <cell r="U123">
            <v>0</v>
          </cell>
          <cell r="V123">
            <v>0</v>
          </cell>
          <cell r="W123">
            <v>0</v>
          </cell>
          <cell r="X123">
            <v>0</v>
          </cell>
          <cell r="Y123">
            <v>0</v>
          </cell>
          <cell r="Z123">
            <v>0</v>
          </cell>
          <cell r="AA123">
            <v>0</v>
          </cell>
          <cell r="AB123">
            <v>0</v>
          </cell>
          <cell r="AC123">
            <v>0</v>
          </cell>
          <cell r="AD123">
            <v>0</v>
          </cell>
          <cell r="AE123">
            <v>0</v>
          </cell>
          <cell r="AF123">
            <v>0</v>
          </cell>
          <cell r="AG123">
            <v>1</v>
          </cell>
          <cell r="AH123">
            <v>0</v>
          </cell>
          <cell r="AI123">
            <v>0</v>
          </cell>
          <cell r="AJ123">
            <v>0</v>
          </cell>
        </row>
        <row r="124">
          <cell r="B124" t="str">
            <v>a28</v>
          </cell>
          <cell r="G124">
            <v>0</v>
          </cell>
          <cell r="H124">
            <v>0</v>
          </cell>
          <cell r="I124">
            <v>0</v>
          </cell>
          <cell r="J124">
            <v>0</v>
          </cell>
          <cell r="K124">
            <v>0</v>
          </cell>
          <cell r="L124">
            <v>0</v>
          </cell>
          <cell r="M124">
            <v>0</v>
          </cell>
          <cell r="N124">
            <v>0</v>
          </cell>
          <cell r="O124">
            <v>0</v>
          </cell>
          <cell r="P124">
            <v>0</v>
          </cell>
          <cell r="Q124">
            <v>0</v>
          </cell>
          <cell r="R124">
            <v>0</v>
          </cell>
          <cell r="S124">
            <v>0</v>
          </cell>
          <cell r="T124">
            <v>0</v>
          </cell>
          <cell r="U124">
            <v>0</v>
          </cell>
          <cell r="V124">
            <v>0</v>
          </cell>
          <cell r="W124">
            <v>0</v>
          </cell>
          <cell r="X124">
            <v>0</v>
          </cell>
          <cell r="Y124">
            <v>0</v>
          </cell>
          <cell r="Z124">
            <v>0</v>
          </cell>
          <cell r="AA124">
            <v>0</v>
          </cell>
          <cell r="AB124">
            <v>0</v>
          </cell>
          <cell r="AC124">
            <v>0</v>
          </cell>
          <cell r="AD124">
            <v>0</v>
          </cell>
          <cell r="AE124">
            <v>0</v>
          </cell>
          <cell r="AF124">
            <v>0</v>
          </cell>
          <cell r="AG124">
            <v>0</v>
          </cell>
          <cell r="AH124">
            <v>1</v>
          </cell>
          <cell r="AI124">
            <v>0</v>
          </cell>
          <cell r="AJ124">
            <v>0</v>
          </cell>
        </row>
        <row r="125">
          <cell r="B125" t="str">
            <v>a29</v>
          </cell>
          <cell r="G125">
            <v>0</v>
          </cell>
          <cell r="H125">
            <v>0</v>
          </cell>
          <cell r="I125">
            <v>0</v>
          </cell>
          <cell r="J125">
            <v>0</v>
          </cell>
          <cell r="K125">
            <v>0</v>
          </cell>
          <cell r="L125">
            <v>0</v>
          </cell>
          <cell r="M125">
            <v>0</v>
          </cell>
          <cell r="N125">
            <v>0</v>
          </cell>
          <cell r="O125">
            <v>0</v>
          </cell>
          <cell r="P125">
            <v>0</v>
          </cell>
          <cell r="Q125">
            <v>0</v>
          </cell>
          <cell r="R125">
            <v>0</v>
          </cell>
          <cell r="S125">
            <v>0</v>
          </cell>
          <cell r="T125">
            <v>0</v>
          </cell>
          <cell r="U125">
            <v>0</v>
          </cell>
          <cell r="V125">
            <v>0</v>
          </cell>
          <cell r="W125">
            <v>0</v>
          </cell>
          <cell r="X125">
            <v>0</v>
          </cell>
          <cell r="Y125">
            <v>0</v>
          </cell>
          <cell r="Z125">
            <v>0</v>
          </cell>
          <cell r="AA125">
            <v>0</v>
          </cell>
          <cell r="AB125">
            <v>0</v>
          </cell>
          <cell r="AC125">
            <v>0</v>
          </cell>
          <cell r="AD125">
            <v>0</v>
          </cell>
          <cell r="AE125">
            <v>0</v>
          </cell>
          <cell r="AF125">
            <v>0</v>
          </cell>
          <cell r="AG125">
            <v>0</v>
          </cell>
          <cell r="AH125">
            <v>0</v>
          </cell>
          <cell r="AI125">
            <v>1</v>
          </cell>
          <cell r="AJ125">
            <v>0</v>
          </cell>
        </row>
        <row r="126">
          <cell r="B126" t="str">
            <v>a30</v>
          </cell>
          <cell r="G126">
            <v>0</v>
          </cell>
          <cell r="H126">
            <v>0</v>
          </cell>
          <cell r="I126">
            <v>0</v>
          </cell>
          <cell r="J126">
            <v>0</v>
          </cell>
          <cell r="K126">
            <v>0</v>
          </cell>
          <cell r="L126">
            <v>0</v>
          </cell>
          <cell r="M126">
            <v>0</v>
          </cell>
          <cell r="N126">
            <v>0</v>
          </cell>
          <cell r="O126">
            <v>0</v>
          </cell>
          <cell r="P126">
            <v>0</v>
          </cell>
          <cell r="Q126">
            <v>0</v>
          </cell>
          <cell r="R126">
            <v>0</v>
          </cell>
          <cell r="S126">
            <v>0</v>
          </cell>
          <cell r="T126">
            <v>0</v>
          </cell>
          <cell r="U126">
            <v>0</v>
          </cell>
          <cell r="V126">
            <v>0</v>
          </cell>
          <cell r="W126">
            <v>0</v>
          </cell>
          <cell r="X126">
            <v>0</v>
          </cell>
          <cell r="Y126">
            <v>0</v>
          </cell>
          <cell r="Z126">
            <v>0</v>
          </cell>
          <cell r="AA126">
            <v>0</v>
          </cell>
          <cell r="AB126">
            <v>0</v>
          </cell>
          <cell r="AC126">
            <v>0</v>
          </cell>
          <cell r="AD126">
            <v>0</v>
          </cell>
          <cell r="AE126">
            <v>0</v>
          </cell>
          <cell r="AF126">
            <v>0</v>
          </cell>
          <cell r="AG126">
            <v>0</v>
          </cell>
          <cell r="AH126">
            <v>0</v>
          </cell>
          <cell r="AI126">
            <v>0</v>
          </cell>
          <cell r="AJ126">
            <v>1</v>
          </cell>
        </row>
        <row r="127">
          <cell r="B127" t="str">
            <v>a1-2</v>
          </cell>
          <cell r="G127">
            <v>0.5</v>
          </cell>
          <cell r="H127">
            <v>0.5</v>
          </cell>
          <cell r="I127">
            <v>0</v>
          </cell>
          <cell r="J127">
            <v>0</v>
          </cell>
          <cell r="K127">
            <v>0</v>
          </cell>
          <cell r="L127">
            <v>0</v>
          </cell>
          <cell r="M127">
            <v>0</v>
          </cell>
          <cell r="N127">
            <v>0</v>
          </cell>
          <cell r="O127">
            <v>0</v>
          </cell>
          <cell r="P127">
            <v>0</v>
          </cell>
          <cell r="Q127">
            <v>0</v>
          </cell>
          <cell r="R127">
            <v>0</v>
          </cell>
          <cell r="S127">
            <v>0</v>
          </cell>
          <cell r="T127">
            <v>0</v>
          </cell>
          <cell r="U127">
            <v>0</v>
          </cell>
          <cell r="V127">
            <v>0</v>
          </cell>
          <cell r="W127">
            <v>0</v>
          </cell>
          <cell r="X127">
            <v>0</v>
          </cell>
          <cell r="Y127">
            <v>0</v>
          </cell>
          <cell r="Z127">
            <v>0</v>
          </cell>
          <cell r="AA127">
            <v>0</v>
          </cell>
          <cell r="AB127">
            <v>0</v>
          </cell>
          <cell r="AC127">
            <v>0</v>
          </cell>
          <cell r="AD127">
            <v>0</v>
          </cell>
          <cell r="AE127">
            <v>0</v>
          </cell>
          <cell r="AF127">
            <v>0</v>
          </cell>
          <cell r="AG127">
            <v>0</v>
          </cell>
          <cell r="AH127">
            <v>0</v>
          </cell>
          <cell r="AI127">
            <v>0</v>
          </cell>
          <cell r="AJ127">
            <v>0</v>
          </cell>
        </row>
        <row r="128">
          <cell r="B128" t="str">
            <v>a1-2</v>
          </cell>
          <cell r="G128">
            <v>0.5</v>
          </cell>
          <cell r="H128">
            <v>0.5</v>
          </cell>
          <cell r="I128">
            <v>0</v>
          </cell>
          <cell r="J128">
            <v>0</v>
          </cell>
          <cell r="K128">
            <v>0</v>
          </cell>
          <cell r="L128">
            <v>0</v>
          </cell>
          <cell r="M128">
            <v>0</v>
          </cell>
          <cell r="N128">
            <v>0</v>
          </cell>
          <cell r="O128">
            <v>0</v>
          </cell>
          <cell r="P128">
            <v>0</v>
          </cell>
          <cell r="Q128">
            <v>0</v>
          </cell>
          <cell r="R128">
            <v>0</v>
          </cell>
          <cell r="S128">
            <v>0</v>
          </cell>
          <cell r="T128">
            <v>0</v>
          </cell>
          <cell r="U128">
            <v>0</v>
          </cell>
          <cell r="V128">
            <v>0</v>
          </cell>
          <cell r="W128">
            <v>0</v>
          </cell>
          <cell r="X128">
            <v>0</v>
          </cell>
          <cell r="Y128">
            <v>0</v>
          </cell>
          <cell r="Z128">
            <v>0</v>
          </cell>
          <cell r="AA128">
            <v>0</v>
          </cell>
          <cell r="AB128">
            <v>0</v>
          </cell>
          <cell r="AC128">
            <v>0</v>
          </cell>
          <cell r="AD128">
            <v>0</v>
          </cell>
          <cell r="AE128">
            <v>0</v>
          </cell>
          <cell r="AF128">
            <v>0</v>
          </cell>
          <cell r="AG128">
            <v>0</v>
          </cell>
          <cell r="AH128">
            <v>0</v>
          </cell>
          <cell r="AI128">
            <v>0</v>
          </cell>
          <cell r="AJ128">
            <v>0</v>
          </cell>
        </row>
        <row r="129">
          <cell r="B129" t="str">
            <v>a1-3</v>
          </cell>
          <cell r="G129">
            <v>0.33333333333333331</v>
          </cell>
          <cell r="H129">
            <v>0.33333333333333331</v>
          </cell>
          <cell r="I129">
            <v>0.33333333333333331</v>
          </cell>
          <cell r="J129">
            <v>0</v>
          </cell>
          <cell r="K129">
            <v>0</v>
          </cell>
          <cell r="L129">
            <v>0</v>
          </cell>
          <cell r="M129">
            <v>0</v>
          </cell>
          <cell r="N129">
            <v>0</v>
          </cell>
          <cell r="O129">
            <v>0</v>
          </cell>
          <cell r="P129">
            <v>0</v>
          </cell>
          <cell r="Q129">
            <v>0</v>
          </cell>
          <cell r="R129">
            <v>0</v>
          </cell>
          <cell r="S129">
            <v>0</v>
          </cell>
          <cell r="T129">
            <v>0</v>
          </cell>
          <cell r="U129">
            <v>0</v>
          </cell>
          <cell r="V129">
            <v>0</v>
          </cell>
          <cell r="W129">
            <v>0</v>
          </cell>
          <cell r="X129">
            <v>0</v>
          </cell>
          <cell r="Y129">
            <v>0</v>
          </cell>
          <cell r="Z129">
            <v>0</v>
          </cell>
          <cell r="AA129">
            <v>0</v>
          </cell>
          <cell r="AB129">
            <v>0</v>
          </cell>
          <cell r="AC129">
            <v>0</v>
          </cell>
          <cell r="AD129">
            <v>0</v>
          </cell>
          <cell r="AE129">
            <v>0</v>
          </cell>
          <cell r="AF129">
            <v>0</v>
          </cell>
          <cell r="AG129">
            <v>0</v>
          </cell>
          <cell r="AH129">
            <v>0</v>
          </cell>
          <cell r="AI129">
            <v>0</v>
          </cell>
          <cell r="AJ129">
            <v>0</v>
          </cell>
        </row>
        <row r="130">
          <cell r="B130" t="str">
            <v>a1,3</v>
          </cell>
          <cell r="G130">
            <v>0.5</v>
          </cell>
          <cell r="H130">
            <v>0</v>
          </cell>
          <cell r="I130">
            <v>0.5</v>
          </cell>
          <cell r="J130">
            <v>0</v>
          </cell>
          <cell r="K130">
            <v>0</v>
          </cell>
          <cell r="L130">
            <v>0</v>
          </cell>
          <cell r="M130">
            <v>0</v>
          </cell>
          <cell r="N130">
            <v>0</v>
          </cell>
          <cell r="O130">
            <v>0</v>
          </cell>
          <cell r="P130">
            <v>0</v>
          </cell>
          <cell r="Q130">
            <v>0</v>
          </cell>
          <cell r="R130">
            <v>0</v>
          </cell>
          <cell r="S130">
            <v>0</v>
          </cell>
          <cell r="T130">
            <v>0</v>
          </cell>
          <cell r="U130">
            <v>0</v>
          </cell>
          <cell r="V130">
            <v>0</v>
          </cell>
          <cell r="W130">
            <v>0</v>
          </cell>
          <cell r="X130">
            <v>0</v>
          </cell>
          <cell r="Y130">
            <v>0</v>
          </cell>
          <cell r="Z130">
            <v>0</v>
          </cell>
          <cell r="AA130">
            <v>0</v>
          </cell>
          <cell r="AB130">
            <v>0</v>
          </cell>
          <cell r="AC130">
            <v>0</v>
          </cell>
          <cell r="AD130">
            <v>0</v>
          </cell>
          <cell r="AE130">
            <v>0</v>
          </cell>
          <cell r="AF130">
            <v>0</v>
          </cell>
          <cell r="AG130">
            <v>0</v>
          </cell>
          <cell r="AH130">
            <v>0</v>
          </cell>
          <cell r="AI130">
            <v>0</v>
          </cell>
          <cell r="AJ130">
            <v>0</v>
          </cell>
        </row>
        <row r="131">
          <cell r="B131" t="str">
            <v>a1,4</v>
          </cell>
          <cell r="G131">
            <v>0.5</v>
          </cell>
          <cell r="H131">
            <v>0</v>
          </cell>
          <cell r="I131">
            <v>0</v>
          </cell>
          <cell r="J131">
            <v>0.5</v>
          </cell>
          <cell r="K131">
            <v>0</v>
          </cell>
          <cell r="L131">
            <v>0</v>
          </cell>
          <cell r="M131">
            <v>0</v>
          </cell>
          <cell r="N131">
            <v>0</v>
          </cell>
          <cell r="O131">
            <v>0</v>
          </cell>
          <cell r="P131">
            <v>0</v>
          </cell>
          <cell r="Q131">
            <v>0</v>
          </cell>
          <cell r="R131">
            <v>0</v>
          </cell>
          <cell r="S131">
            <v>0</v>
          </cell>
          <cell r="T131">
            <v>0</v>
          </cell>
          <cell r="U131">
            <v>0</v>
          </cell>
          <cell r="V131">
            <v>0</v>
          </cell>
          <cell r="W131">
            <v>0</v>
          </cell>
          <cell r="X131">
            <v>0</v>
          </cell>
          <cell r="Y131">
            <v>0</v>
          </cell>
          <cell r="Z131">
            <v>0</v>
          </cell>
          <cell r="AA131">
            <v>0</v>
          </cell>
          <cell r="AB131">
            <v>0</v>
          </cell>
          <cell r="AC131">
            <v>0</v>
          </cell>
          <cell r="AD131">
            <v>0</v>
          </cell>
          <cell r="AE131">
            <v>0</v>
          </cell>
          <cell r="AF131">
            <v>0</v>
          </cell>
          <cell r="AG131">
            <v>0</v>
          </cell>
          <cell r="AH131">
            <v>0</v>
          </cell>
          <cell r="AI131">
            <v>0</v>
          </cell>
          <cell r="AJ131">
            <v>0</v>
          </cell>
        </row>
        <row r="132">
          <cell r="B132" t="str">
            <v>a1,5</v>
          </cell>
          <cell r="G132">
            <v>0.5</v>
          </cell>
          <cell r="H132">
            <v>0</v>
          </cell>
          <cell r="I132">
            <v>0</v>
          </cell>
          <cell r="J132">
            <v>0</v>
          </cell>
          <cell r="K132">
            <v>0.5</v>
          </cell>
          <cell r="L132">
            <v>0</v>
          </cell>
          <cell r="M132">
            <v>0</v>
          </cell>
          <cell r="N132">
            <v>0</v>
          </cell>
          <cell r="O132">
            <v>0</v>
          </cell>
          <cell r="P132">
            <v>0</v>
          </cell>
          <cell r="Q132">
            <v>0</v>
          </cell>
          <cell r="R132">
            <v>0</v>
          </cell>
          <cell r="S132">
            <v>0</v>
          </cell>
          <cell r="T132">
            <v>0</v>
          </cell>
          <cell r="U132">
            <v>0</v>
          </cell>
          <cell r="V132">
            <v>0</v>
          </cell>
          <cell r="W132">
            <v>0</v>
          </cell>
          <cell r="X132">
            <v>0</v>
          </cell>
          <cell r="Y132">
            <v>0</v>
          </cell>
          <cell r="Z132">
            <v>0</v>
          </cell>
          <cell r="AA132">
            <v>0</v>
          </cell>
          <cell r="AB132">
            <v>0</v>
          </cell>
          <cell r="AC132">
            <v>0</v>
          </cell>
          <cell r="AD132">
            <v>0</v>
          </cell>
          <cell r="AE132">
            <v>0</v>
          </cell>
          <cell r="AF132">
            <v>0</v>
          </cell>
          <cell r="AG132">
            <v>0</v>
          </cell>
          <cell r="AH132">
            <v>0</v>
          </cell>
          <cell r="AI132">
            <v>0</v>
          </cell>
          <cell r="AJ132">
            <v>0</v>
          </cell>
        </row>
        <row r="133">
          <cell r="B133" t="str">
            <v>a1-10</v>
          </cell>
          <cell r="G133">
            <v>0.1</v>
          </cell>
          <cell r="H133">
            <v>0.1</v>
          </cell>
          <cell r="I133">
            <v>0.1</v>
          </cell>
          <cell r="J133">
            <v>0.1</v>
          </cell>
          <cell r="K133">
            <v>0.1</v>
          </cell>
          <cell r="L133">
            <v>0.1</v>
          </cell>
          <cell r="M133">
            <v>0.1</v>
          </cell>
          <cell r="N133">
            <v>0.1</v>
          </cell>
          <cell r="O133">
            <v>0.1</v>
          </cell>
          <cell r="P133">
            <v>0.1</v>
          </cell>
          <cell r="Q133">
            <v>0</v>
          </cell>
          <cell r="R133">
            <v>0</v>
          </cell>
          <cell r="S133">
            <v>0</v>
          </cell>
          <cell r="T133">
            <v>0</v>
          </cell>
          <cell r="U133">
            <v>0</v>
          </cell>
          <cell r="V133">
            <v>0</v>
          </cell>
          <cell r="W133">
            <v>0</v>
          </cell>
          <cell r="X133">
            <v>0</v>
          </cell>
          <cell r="Y133">
            <v>0</v>
          </cell>
          <cell r="Z133">
            <v>0</v>
          </cell>
          <cell r="AA133">
            <v>0</v>
          </cell>
          <cell r="AB133">
            <v>0</v>
          </cell>
          <cell r="AC133">
            <v>0</v>
          </cell>
          <cell r="AD133">
            <v>0</v>
          </cell>
          <cell r="AE133">
            <v>0</v>
          </cell>
          <cell r="AF133">
            <v>0</v>
          </cell>
          <cell r="AG133">
            <v>0</v>
          </cell>
          <cell r="AH133">
            <v>0</v>
          </cell>
          <cell r="AI133">
            <v>0</v>
          </cell>
          <cell r="AJ133">
            <v>0</v>
          </cell>
        </row>
        <row r="134">
          <cell r="B134" t="str">
            <v>a1-30</v>
          </cell>
          <cell r="G134">
            <v>3.3333333333333333E-2</v>
          </cell>
          <cell r="H134">
            <v>3.3333333333333333E-2</v>
          </cell>
          <cell r="I134">
            <v>3.3333333333333333E-2</v>
          </cell>
          <cell r="J134">
            <v>3.3333333333333333E-2</v>
          </cell>
          <cell r="K134">
            <v>3.3333333333333333E-2</v>
          </cell>
          <cell r="L134">
            <v>3.3333333333333333E-2</v>
          </cell>
          <cell r="M134">
            <v>3.3333333333333333E-2</v>
          </cell>
          <cell r="N134">
            <v>3.3333333333333333E-2</v>
          </cell>
          <cell r="O134">
            <v>3.3333333333333333E-2</v>
          </cell>
          <cell r="P134">
            <v>3.3333333333333333E-2</v>
          </cell>
          <cell r="Q134">
            <v>3.3333333333333333E-2</v>
          </cell>
          <cell r="R134">
            <v>3.3333333333333333E-2</v>
          </cell>
          <cell r="S134">
            <v>3.3333333333333333E-2</v>
          </cell>
          <cell r="T134">
            <v>3.3333333333333333E-2</v>
          </cell>
          <cell r="U134">
            <v>3.3333333333333333E-2</v>
          </cell>
          <cell r="V134">
            <v>3.3333333333333333E-2</v>
          </cell>
          <cell r="W134">
            <v>3.3333333333333333E-2</v>
          </cell>
          <cell r="X134">
            <v>3.3333333333333333E-2</v>
          </cell>
          <cell r="Y134">
            <v>3.3333333333333333E-2</v>
          </cell>
          <cell r="Z134">
            <v>3.3333333333333333E-2</v>
          </cell>
          <cell r="AA134">
            <v>3.3333333333333333E-2</v>
          </cell>
          <cell r="AB134">
            <v>3.3333333333333333E-2</v>
          </cell>
          <cell r="AC134">
            <v>3.3333333333333333E-2</v>
          </cell>
          <cell r="AD134">
            <v>3.3333333333333333E-2</v>
          </cell>
          <cell r="AE134">
            <v>3.3333333333333333E-2</v>
          </cell>
          <cell r="AF134">
            <v>3.3333333333333333E-2</v>
          </cell>
          <cell r="AG134">
            <v>3.3333333333333333E-2</v>
          </cell>
          <cell r="AH134">
            <v>3.3333333333333333E-2</v>
          </cell>
          <cell r="AI134">
            <v>3.3333333333333333E-2</v>
          </cell>
          <cell r="AJ134">
            <v>3.3333333333333333E-2</v>
          </cell>
        </row>
        <row r="135">
          <cell r="B135" t="str">
            <v>a1-4</v>
          </cell>
          <cell r="G135">
            <v>0.25</v>
          </cell>
          <cell r="H135">
            <v>0.25</v>
          </cell>
          <cell r="I135">
            <v>0.25</v>
          </cell>
          <cell r="J135">
            <v>0.25</v>
          </cell>
          <cell r="K135">
            <v>0</v>
          </cell>
          <cell r="L135">
            <v>0</v>
          </cell>
          <cell r="M135">
            <v>0</v>
          </cell>
          <cell r="N135">
            <v>0</v>
          </cell>
          <cell r="O135">
            <v>0</v>
          </cell>
          <cell r="P135">
            <v>0</v>
          </cell>
          <cell r="Q135">
            <v>0</v>
          </cell>
          <cell r="R135">
            <v>0</v>
          </cell>
          <cell r="S135">
            <v>0</v>
          </cell>
          <cell r="T135">
            <v>0</v>
          </cell>
          <cell r="U135">
            <v>0</v>
          </cell>
          <cell r="V135">
            <v>0</v>
          </cell>
          <cell r="W135">
            <v>0</v>
          </cell>
          <cell r="X135">
            <v>0</v>
          </cell>
          <cell r="Y135">
            <v>0</v>
          </cell>
          <cell r="Z135">
            <v>0</v>
          </cell>
          <cell r="AA135">
            <v>0</v>
          </cell>
          <cell r="AB135">
            <v>0</v>
          </cell>
          <cell r="AC135">
            <v>0</v>
          </cell>
          <cell r="AD135">
            <v>0</v>
          </cell>
          <cell r="AE135">
            <v>0</v>
          </cell>
          <cell r="AF135">
            <v>0</v>
          </cell>
          <cell r="AG135">
            <v>0</v>
          </cell>
          <cell r="AH135">
            <v>0</v>
          </cell>
          <cell r="AI135">
            <v>0</v>
          </cell>
          <cell r="AJ135">
            <v>0</v>
          </cell>
        </row>
        <row r="136">
          <cell r="B136" t="str">
            <v>a2,3</v>
          </cell>
          <cell r="G136">
            <v>0</v>
          </cell>
          <cell r="H136">
            <v>0.5</v>
          </cell>
          <cell r="I136">
            <v>0.5</v>
          </cell>
          <cell r="J136">
            <v>0</v>
          </cell>
          <cell r="K136">
            <v>0</v>
          </cell>
          <cell r="L136">
            <v>0</v>
          </cell>
          <cell r="M136">
            <v>0</v>
          </cell>
          <cell r="N136">
            <v>0</v>
          </cell>
          <cell r="O136">
            <v>0</v>
          </cell>
          <cell r="P136">
            <v>0</v>
          </cell>
          <cell r="Q136">
            <v>0</v>
          </cell>
          <cell r="R136">
            <v>0</v>
          </cell>
          <cell r="S136">
            <v>0</v>
          </cell>
          <cell r="T136">
            <v>0</v>
          </cell>
          <cell r="U136">
            <v>0</v>
          </cell>
          <cell r="V136">
            <v>0</v>
          </cell>
          <cell r="W136">
            <v>0</v>
          </cell>
          <cell r="X136">
            <v>0</v>
          </cell>
          <cell r="Y136">
            <v>0</v>
          </cell>
          <cell r="Z136">
            <v>0</v>
          </cell>
          <cell r="AA136">
            <v>0</v>
          </cell>
          <cell r="AB136">
            <v>0</v>
          </cell>
          <cell r="AC136">
            <v>0</v>
          </cell>
          <cell r="AD136">
            <v>0</v>
          </cell>
          <cell r="AE136">
            <v>0</v>
          </cell>
          <cell r="AF136">
            <v>0</v>
          </cell>
          <cell r="AG136">
            <v>0</v>
          </cell>
          <cell r="AH136">
            <v>0</v>
          </cell>
          <cell r="AI136">
            <v>0</v>
          </cell>
          <cell r="AJ136">
            <v>0</v>
          </cell>
        </row>
        <row r="137">
          <cell r="B137" t="str">
            <v>a2,4</v>
          </cell>
          <cell r="G137">
            <v>0</v>
          </cell>
          <cell r="H137">
            <v>0.5</v>
          </cell>
          <cell r="I137">
            <v>0</v>
          </cell>
          <cell r="J137">
            <v>0.5</v>
          </cell>
          <cell r="K137">
            <v>0</v>
          </cell>
          <cell r="L137">
            <v>0</v>
          </cell>
          <cell r="M137">
            <v>0</v>
          </cell>
          <cell r="N137">
            <v>0</v>
          </cell>
          <cell r="O137">
            <v>0</v>
          </cell>
          <cell r="P137">
            <v>0</v>
          </cell>
          <cell r="Q137">
            <v>0</v>
          </cell>
          <cell r="R137">
            <v>0</v>
          </cell>
          <cell r="S137">
            <v>0</v>
          </cell>
          <cell r="T137">
            <v>0</v>
          </cell>
          <cell r="U137">
            <v>0</v>
          </cell>
          <cell r="V137">
            <v>0</v>
          </cell>
          <cell r="W137">
            <v>0</v>
          </cell>
          <cell r="X137">
            <v>0</v>
          </cell>
          <cell r="Y137">
            <v>0</v>
          </cell>
          <cell r="Z137">
            <v>0</v>
          </cell>
          <cell r="AA137">
            <v>0</v>
          </cell>
          <cell r="AB137">
            <v>0</v>
          </cell>
          <cell r="AC137">
            <v>0</v>
          </cell>
          <cell r="AD137">
            <v>0</v>
          </cell>
          <cell r="AE137">
            <v>0</v>
          </cell>
          <cell r="AF137">
            <v>0</v>
          </cell>
          <cell r="AG137">
            <v>0</v>
          </cell>
          <cell r="AH137">
            <v>0</v>
          </cell>
          <cell r="AI137">
            <v>0</v>
          </cell>
          <cell r="AJ137">
            <v>0</v>
          </cell>
        </row>
        <row r="138">
          <cell r="B138" t="str">
            <v>a2,5</v>
          </cell>
          <cell r="G138">
            <v>0</v>
          </cell>
          <cell r="H138">
            <v>0.5</v>
          </cell>
          <cell r="I138">
            <v>0</v>
          </cell>
          <cell r="J138">
            <v>0</v>
          </cell>
          <cell r="K138">
            <v>0.5</v>
          </cell>
          <cell r="L138">
            <v>0</v>
          </cell>
          <cell r="M138">
            <v>0</v>
          </cell>
          <cell r="N138">
            <v>0</v>
          </cell>
          <cell r="O138">
            <v>0</v>
          </cell>
          <cell r="P138">
            <v>0</v>
          </cell>
          <cell r="Q138">
            <v>0</v>
          </cell>
          <cell r="R138">
            <v>0</v>
          </cell>
          <cell r="S138">
            <v>0</v>
          </cell>
          <cell r="T138">
            <v>0</v>
          </cell>
          <cell r="U138">
            <v>0</v>
          </cell>
          <cell r="V138">
            <v>0</v>
          </cell>
          <cell r="W138">
            <v>0</v>
          </cell>
          <cell r="X138">
            <v>0</v>
          </cell>
          <cell r="Y138">
            <v>0</v>
          </cell>
          <cell r="Z138">
            <v>0</v>
          </cell>
          <cell r="AA138">
            <v>0</v>
          </cell>
          <cell r="AB138">
            <v>0</v>
          </cell>
          <cell r="AC138">
            <v>0</v>
          </cell>
          <cell r="AD138">
            <v>0</v>
          </cell>
          <cell r="AE138">
            <v>0</v>
          </cell>
          <cell r="AF138">
            <v>0</v>
          </cell>
          <cell r="AG138">
            <v>0</v>
          </cell>
          <cell r="AH138">
            <v>0</v>
          </cell>
          <cell r="AI138">
            <v>0</v>
          </cell>
          <cell r="AJ138">
            <v>0</v>
          </cell>
        </row>
        <row r="139">
          <cell r="B139" t="str">
            <v>a2-3</v>
          </cell>
          <cell r="G139">
            <v>0</v>
          </cell>
          <cell r="H139">
            <v>0.5</v>
          </cell>
          <cell r="I139">
            <v>0.5</v>
          </cell>
          <cell r="J139">
            <v>0</v>
          </cell>
          <cell r="K139">
            <v>0</v>
          </cell>
          <cell r="L139">
            <v>0</v>
          </cell>
          <cell r="M139">
            <v>0</v>
          </cell>
          <cell r="N139">
            <v>0</v>
          </cell>
          <cell r="O139">
            <v>0</v>
          </cell>
          <cell r="P139">
            <v>0</v>
          </cell>
          <cell r="Q139">
            <v>0</v>
          </cell>
          <cell r="R139">
            <v>0</v>
          </cell>
          <cell r="S139">
            <v>0</v>
          </cell>
          <cell r="T139">
            <v>0</v>
          </cell>
          <cell r="U139">
            <v>0</v>
          </cell>
          <cell r="V139">
            <v>0</v>
          </cell>
          <cell r="W139">
            <v>0</v>
          </cell>
          <cell r="X139">
            <v>0</v>
          </cell>
          <cell r="Y139">
            <v>0</v>
          </cell>
          <cell r="Z139">
            <v>0</v>
          </cell>
          <cell r="AA139">
            <v>0</v>
          </cell>
          <cell r="AB139">
            <v>0</v>
          </cell>
          <cell r="AC139">
            <v>0</v>
          </cell>
          <cell r="AD139">
            <v>0</v>
          </cell>
          <cell r="AE139">
            <v>0</v>
          </cell>
          <cell r="AF139">
            <v>0</v>
          </cell>
          <cell r="AG139">
            <v>0</v>
          </cell>
          <cell r="AH139">
            <v>0</v>
          </cell>
          <cell r="AI139">
            <v>0</v>
          </cell>
          <cell r="AJ139">
            <v>0</v>
          </cell>
        </row>
        <row r="140">
          <cell r="B140" t="str">
            <v>a2-4</v>
          </cell>
          <cell r="G140">
            <v>0</v>
          </cell>
          <cell r="H140">
            <v>0.33333333333333331</v>
          </cell>
          <cell r="I140">
            <v>0.33333333333333331</v>
          </cell>
          <cell r="J140">
            <v>0.33333333333333331</v>
          </cell>
          <cell r="K140">
            <v>0</v>
          </cell>
          <cell r="L140">
            <v>0</v>
          </cell>
          <cell r="M140">
            <v>0</v>
          </cell>
          <cell r="N140">
            <v>0</v>
          </cell>
          <cell r="O140">
            <v>0</v>
          </cell>
          <cell r="P140">
            <v>0</v>
          </cell>
          <cell r="Q140">
            <v>0</v>
          </cell>
          <cell r="R140">
            <v>0</v>
          </cell>
          <cell r="S140">
            <v>0</v>
          </cell>
          <cell r="T140">
            <v>0</v>
          </cell>
          <cell r="U140">
            <v>0</v>
          </cell>
          <cell r="V140">
            <v>0</v>
          </cell>
          <cell r="W140">
            <v>0</v>
          </cell>
          <cell r="X140">
            <v>0</v>
          </cell>
          <cell r="Y140">
            <v>0</v>
          </cell>
          <cell r="Z140">
            <v>0</v>
          </cell>
          <cell r="AA140">
            <v>0</v>
          </cell>
          <cell r="AB140">
            <v>0</v>
          </cell>
          <cell r="AC140">
            <v>0</v>
          </cell>
          <cell r="AD140">
            <v>0</v>
          </cell>
          <cell r="AE140">
            <v>0</v>
          </cell>
          <cell r="AF140">
            <v>0</v>
          </cell>
          <cell r="AG140">
            <v>0</v>
          </cell>
          <cell r="AH140">
            <v>0</v>
          </cell>
          <cell r="AI140">
            <v>0</v>
          </cell>
          <cell r="AJ140">
            <v>0</v>
          </cell>
        </row>
        <row r="141">
          <cell r="B141" t="str">
            <v>a2-5</v>
          </cell>
          <cell r="G141">
            <v>0</v>
          </cell>
          <cell r="H141">
            <v>0.25</v>
          </cell>
          <cell r="I141">
            <v>0.25</v>
          </cell>
          <cell r="J141">
            <v>0.25</v>
          </cell>
          <cell r="K141">
            <v>0.25</v>
          </cell>
          <cell r="L141">
            <v>0</v>
          </cell>
          <cell r="M141">
            <v>0</v>
          </cell>
          <cell r="N141">
            <v>0</v>
          </cell>
          <cell r="O141">
            <v>0</v>
          </cell>
          <cell r="P141">
            <v>0</v>
          </cell>
          <cell r="Q141">
            <v>0</v>
          </cell>
          <cell r="R141">
            <v>0</v>
          </cell>
          <cell r="S141">
            <v>0</v>
          </cell>
          <cell r="T141">
            <v>0</v>
          </cell>
          <cell r="U141">
            <v>0</v>
          </cell>
          <cell r="V141">
            <v>0</v>
          </cell>
          <cell r="W141">
            <v>0</v>
          </cell>
          <cell r="X141">
            <v>0</v>
          </cell>
          <cell r="Y141">
            <v>0</v>
          </cell>
          <cell r="Z141">
            <v>0</v>
          </cell>
          <cell r="AA141">
            <v>0</v>
          </cell>
          <cell r="AB141">
            <v>0</v>
          </cell>
          <cell r="AC141">
            <v>0</v>
          </cell>
          <cell r="AD141">
            <v>0</v>
          </cell>
          <cell r="AE141">
            <v>0</v>
          </cell>
          <cell r="AF141">
            <v>0</v>
          </cell>
          <cell r="AG141">
            <v>0</v>
          </cell>
          <cell r="AH141">
            <v>0</v>
          </cell>
          <cell r="AI141">
            <v>0</v>
          </cell>
          <cell r="AJ141">
            <v>0</v>
          </cell>
        </row>
        <row r="142">
          <cell r="B142" t="str">
            <v>a3,4</v>
          </cell>
          <cell r="G142">
            <v>0</v>
          </cell>
          <cell r="H142">
            <v>0</v>
          </cell>
          <cell r="I142">
            <v>0.5</v>
          </cell>
          <cell r="J142">
            <v>0.5</v>
          </cell>
          <cell r="K142">
            <v>0</v>
          </cell>
          <cell r="L142">
            <v>0</v>
          </cell>
          <cell r="M142">
            <v>0</v>
          </cell>
          <cell r="N142">
            <v>0</v>
          </cell>
          <cell r="O142">
            <v>0</v>
          </cell>
          <cell r="P142">
            <v>0</v>
          </cell>
          <cell r="Q142">
            <v>0</v>
          </cell>
          <cell r="R142">
            <v>0</v>
          </cell>
          <cell r="S142">
            <v>0</v>
          </cell>
          <cell r="T142">
            <v>0</v>
          </cell>
          <cell r="U142">
            <v>0</v>
          </cell>
          <cell r="V142">
            <v>0</v>
          </cell>
          <cell r="W142">
            <v>0</v>
          </cell>
          <cell r="X142">
            <v>0</v>
          </cell>
          <cell r="Y142">
            <v>0</v>
          </cell>
          <cell r="Z142">
            <v>0</v>
          </cell>
          <cell r="AA142">
            <v>0</v>
          </cell>
          <cell r="AB142">
            <v>0</v>
          </cell>
          <cell r="AC142">
            <v>0</v>
          </cell>
          <cell r="AD142">
            <v>0</v>
          </cell>
          <cell r="AE142">
            <v>0</v>
          </cell>
          <cell r="AF142">
            <v>0</v>
          </cell>
          <cell r="AG142">
            <v>0</v>
          </cell>
          <cell r="AH142">
            <v>0</v>
          </cell>
          <cell r="AI142">
            <v>0</v>
          </cell>
          <cell r="AJ142">
            <v>0</v>
          </cell>
        </row>
        <row r="143">
          <cell r="B143" t="str">
            <v>a3,5</v>
          </cell>
          <cell r="G143">
            <v>0</v>
          </cell>
          <cell r="H143">
            <v>0</v>
          </cell>
          <cell r="I143">
            <v>0.5</v>
          </cell>
          <cell r="J143">
            <v>0</v>
          </cell>
          <cell r="K143">
            <v>0.5</v>
          </cell>
          <cell r="L143">
            <v>0</v>
          </cell>
          <cell r="M143">
            <v>0</v>
          </cell>
          <cell r="N143">
            <v>0</v>
          </cell>
          <cell r="O143">
            <v>0</v>
          </cell>
          <cell r="P143">
            <v>0</v>
          </cell>
          <cell r="Q143">
            <v>0</v>
          </cell>
          <cell r="R143">
            <v>0</v>
          </cell>
          <cell r="S143">
            <v>0</v>
          </cell>
          <cell r="T143">
            <v>0</v>
          </cell>
          <cell r="U143">
            <v>0</v>
          </cell>
          <cell r="V143">
            <v>0</v>
          </cell>
          <cell r="W143">
            <v>0</v>
          </cell>
          <cell r="X143">
            <v>0</v>
          </cell>
          <cell r="Y143">
            <v>0</v>
          </cell>
          <cell r="Z143">
            <v>0</v>
          </cell>
          <cell r="AA143">
            <v>0</v>
          </cell>
          <cell r="AB143">
            <v>0</v>
          </cell>
          <cell r="AC143">
            <v>0</v>
          </cell>
          <cell r="AD143">
            <v>0</v>
          </cell>
          <cell r="AE143">
            <v>0</v>
          </cell>
          <cell r="AF143">
            <v>0</v>
          </cell>
          <cell r="AG143">
            <v>0</v>
          </cell>
          <cell r="AH143">
            <v>0</v>
          </cell>
          <cell r="AI143">
            <v>0</v>
          </cell>
          <cell r="AJ143">
            <v>0</v>
          </cell>
        </row>
        <row r="144">
          <cell r="B144" t="str">
            <v>a3-4</v>
          </cell>
          <cell r="G144">
            <v>0</v>
          </cell>
          <cell r="H144">
            <v>0</v>
          </cell>
          <cell r="I144">
            <v>0.5</v>
          </cell>
          <cell r="J144">
            <v>0.5</v>
          </cell>
          <cell r="K144">
            <v>0</v>
          </cell>
          <cell r="L144">
            <v>0</v>
          </cell>
          <cell r="M144">
            <v>0</v>
          </cell>
          <cell r="N144">
            <v>0</v>
          </cell>
          <cell r="O144">
            <v>0</v>
          </cell>
          <cell r="P144">
            <v>0</v>
          </cell>
          <cell r="Q144">
            <v>0</v>
          </cell>
          <cell r="R144">
            <v>0</v>
          </cell>
          <cell r="S144">
            <v>0</v>
          </cell>
          <cell r="T144">
            <v>0</v>
          </cell>
          <cell r="U144">
            <v>0</v>
          </cell>
          <cell r="V144">
            <v>0</v>
          </cell>
          <cell r="W144">
            <v>0</v>
          </cell>
          <cell r="X144">
            <v>0</v>
          </cell>
          <cell r="Y144">
            <v>0</v>
          </cell>
          <cell r="Z144">
            <v>0</v>
          </cell>
          <cell r="AA144">
            <v>0</v>
          </cell>
          <cell r="AB144">
            <v>0</v>
          </cell>
          <cell r="AC144">
            <v>0</v>
          </cell>
          <cell r="AD144">
            <v>0</v>
          </cell>
          <cell r="AE144">
            <v>0</v>
          </cell>
          <cell r="AF144">
            <v>0</v>
          </cell>
          <cell r="AG144">
            <v>0</v>
          </cell>
          <cell r="AH144">
            <v>0</v>
          </cell>
          <cell r="AI144">
            <v>0</v>
          </cell>
          <cell r="AJ144">
            <v>0</v>
          </cell>
        </row>
        <row r="145">
          <cell r="B145" t="str">
            <v>a3-5</v>
          </cell>
          <cell r="G145">
            <v>0</v>
          </cell>
          <cell r="H145">
            <v>0</v>
          </cell>
          <cell r="I145">
            <v>0.33333333333333331</v>
          </cell>
          <cell r="J145">
            <v>0.33333333333333331</v>
          </cell>
          <cell r="K145">
            <v>0.33333333333333331</v>
          </cell>
          <cell r="L145">
            <v>0</v>
          </cell>
          <cell r="M145">
            <v>0</v>
          </cell>
          <cell r="N145">
            <v>0</v>
          </cell>
          <cell r="O145">
            <v>0</v>
          </cell>
          <cell r="P145">
            <v>0</v>
          </cell>
          <cell r="Q145">
            <v>0</v>
          </cell>
          <cell r="R145">
            <v>0</v>
          </cell>
          <cell r="S145">
            <v>0</v>
          </cell>
          <cell r="T145">
            <v>0</v>
          </cell>
          <cell r="U145">
            <v>0</v>
          </cell>
          <cell r="V145">
            <v>0</v>
          </cell>
          <cell r="W145">
            <v>0</v>
          </cell>
          <cell r="X145">
            <v>0</v>
          </cell>
          <cell r="Y145">
            <v>0</v>
          </cell>
          <cell r="Z145">
            <v>0</v>
          </cell>
          <cell r="AA145">
            <v>0</v>
          </cell>
          <cell r="AB145">
            <v>0</v>
          </cell>
          <cell r="AC145">
            <v>0</v>
          </cell>
          <cell r="AD145">
            <v>0</v>
          </cell>
          <cell r="AE145">
            <v>0</v>
          </cell>
          <cell r="AF145">
            <v>0</v>
          </cell>
          <cell r="AG145">
            <v>0</v>
          </cell>
          <cell r="AH145">
            <v>0</v>
          </cell>
          <cell r="AI145">
            <v>0</v>
          </cell>
          <cell r="AJ145">
            <v>0</v>
          </cell>
        </row>
        <row r="146">
          <cell r="B146" t="str">
            <v>a3-6</v>
          </cell>
          <cell r="G146">
            <v>0</v>
          </cell>
          <cell r="H146">
            <v>0</v>
          </cell>
          <cell r="I146">
            <v>0.25</v>
          </cell>
          <cell r="J146">
            <v>0.25</v>
          </cell>
          <cell r="K146">
            <v>0.25</v>
          </cell>
          <cell r="L146">
            <v>0.25</v>
          </cell>
          <cell r="M146">
            <v>0</v>
          </cell>
          <cell r="N146">
            <v>0</v>
          </cell>
          <cell r="O146">
            <v>0</v>
          </cell>
          <cell r="P146">
            <v>0</v>
          </cell>
          <cell r="Q146">
            <v>0</v>
          </cell>
          <cell r="R146">
            <v>0</v>
          </cell>
          <cell r="S146">
            <v>0</v>
          </cell>
          <cell r="T146">
            <v>0</v>
          </cell>
          <cell r="U146">
            <v>0</v>
          </cell>
          <cell r="V146">
            <v>0</v>
          </cell>
          <cell r="W146">
            <v>0</v>
          </cell>
          <cell r="X146">
            <v>0</v>
          </cell>
          <cell r="Y146">
            <v>0</v>
          </cell>
          <cell r="Z146">
            <v>0</v>
          </cell>
          <cell r="AA146">
            <v>0</v>
          </cell>
          <cell r="AB146">
            <v>0</v>
          </cell>
          <cell r="AC146">
            <v>0</v>
          </cell>
          <cell r="AD146">
            <v>0</v>
          </cell>
          <cell r="AE146">
            <v>0</v>
          </cell>
          <cell r="AF146">
            <v>0</v>
          </cell>
          <cell r="AG146">
            <v>0</v>
          </cell>
          <cell r="AH146">
            <v>0</v>
          </cell>
          <cell r="AI146">
            <v>0</v>
          </cell>
          <cell r="AJ146">
            <v>0</v>
          </cell>
        </row>
        <row r="147">
          <cell r="B147" t="str">
            <v>a3-7</v>
          </cell>
          <cell r="G147">
            <v>0</v>
          </cell>
          <cell r="H147">
            <v>0</v>
          </cell>
          <cell r="I147">
            <v>0.2</v>
          </cell>
          <cell r="J147">
            <v>0.2</v>
          </cell>
          <cell r="K147">
            <v>0.2</v>
          </cell>
          <cell r="L147">
            <v>0.2</v>
          </cell>
          <cell r="M147">
            <v>0.2</v>
          </cell>
          <cell r="N147">
            <v>0</v>
          </cell>
          <cell r="O147">
            <v>0</v>
          </cell>
          <cell r="P147">
            <v>0</v>
          </cell>
          <cell r="Q147">
            <v>0</v>
          </cell>
          <cell r="R147">
            <v>0</v>
          </cell>
          <cell r="S147">
            <v>0</v>
          </cell>
          <cell r="T147">
            <v>0</v>
          </cell>
          <cell r="U147">
            <v>0</v>
          </cell>
          <cell r="V147">
            <v>0</v>
          </cell>
          <cell r="W147">
            <v>0</v>
          </cell>
          <cell r="X147">
            <v>0</v>
          </cell>
          <cell r="Y147">
            <v>0</v>
          </cell>
          <cell r="Z147">
            <v>0</v>
          </cell>
          <cell r="AA147">
            <v>0</v>
          </cell>
          <cell r="AB147">
            <v>0</v>
          </cell>
          <cell r="AC147">
            <v>0</v>
          </cell>
          <cell r="AD147">
            <v>0</v>
          </cell>
          <cell r="AE147">
            <v>0</v>
          </cell>
          <cell r="AF147">
            <v>0</v>
          </cell>
          <cell r="AG147">
            <v>0</v>
          </cell>
          <cell r="AH147">
            <v>0</v>
          </cell>
          <cell r="AI147">
            <v>0</v>
          </cell>
          <cell r="AJ147">
            <v>0</v>
          </cell>
        </row>
        <row r="148">
          <cell r="B148" t="str">
            <v>a3-8</v>
          </cell>
          <cell r="G148">
            <v>0</v>
          </cell>
          <cell r="H148">
            <v>0</v>
          </cell>
          <cell r="I148">
            <v>0.16666666666666666</v>
          </cell>
          <cell r="J148">
            <v>0.16666666666666666</v>
          </cell>
          <cell r="K148">
            <v>0.16666666666666666</v>
          </cell>
          <cell r="L148">
            <v>0.16666666666666666</v>
          </cell>
          <cell r="M148">
            <v>0.16666666666666666</v>
          </cell>
          <cell r="N148">
            <v>0.16666666666666666</v>
          </cell>
          <cell r="O148">
            <v>0</v>
          </cell>
          <cell r="P148">
            <v>0</v>
          </cell>
          <cell r="Q148">
            <v>0</v>
          </cell>
          <cell r="R148">
            <v>0</v>
          </cell>
          <cell r="S148">
            <v>0</v>
          </cell>
          <cell r="T148">
            <v>0</v>
          </cell>
          <cell r="U148">
            <v>0</v>
          </cell>
          <cell r="V148">
            <v>0</v>
          </cell>
          <cell r="W148">
            <v>0</v>
          </cell>
          <cell r="X148">
            <v>0</v>
          </cell>
          <cell r="Y148">
            <v>0</v>
          </cell>
          <cell r="Z148">
            <v>0</v>
          </cell>
          <cell r="AA148">
            <v>0</v>
          </cell>
          <cell r="AB148">
            <v>0</v>
          </cell>
          <cell r="AC148">
            <v>0</v>
          </cell>
          <cell r="AD148">
            <v>0</v>
          </cell>
          <cell r="AE148">
            <v>0</v>
          </cell>
          <cell r="AF148">
            <v>0</v>
          </cell>
          <cell r="AG148">
            <v>0</v>
          </cell>
          <cell r="AH148">
            <v>0</v>
          </cell>
          <cell r="AI148">
            <v>0</v>
          </cell>
          <cell r="AJ148">
            <v>0</v>
          </cell>
        </row>
        <row r="149">
          <cell r="B149" t="str">
            <v>a3-9</v>
          </cell>
          <cell r="G149">
            <v>0</v>
          </cell>
          <cell r="H149">
            <v>0</v>
          </cell>
          <cell r="I149">
            <v>0.14285714285714285</v>
          </cell>
          <cell r="J149">
            <v>0.14285714285714285</v>
          </cell>
          <cell r="K149">
            <v>0.14285714285714285</v>
          </cell>
          <cell r="L149">
            <v>0.14285714285714285</v>
          </cell>
          <cell r="M149">
            <v>0.14285714285714285</v>
          </cell>
          <cell r="N149">
            <v>0.14285714285714285</v>
          </cell>
          <cell r="O149">
            <v>0.14285714285714285</v>
          </cell>
          <cell r="P149">
            <v>0</v>
          </cell>
          <cell r="Q149">
            <v>0</v>
          </cell>
          <cell r="R149">
            <v>0</v>
          </cell>
          <cell r="S149">
            <v>0</v>
          </cell>
          <cell r="T149">
            <v>0</v>
          </cell>
          <cell r="U149">
            <v>0</v>
          </cell>
          <cell r="V149">
            <v>0</v>
          </cell>
          <cell r="W149">
            <v>0</v>
          </cell>
          <cell r="X149">
            <v>0</v>
          </cell>
          <cell r="Y149">
            <v>0</v>
          </cell>
          <cell r="Z149">
            <v>0</v>
          </cell>
          <cell r="AA149">
            <v>0</v>
          </cell>
          <cell r="AB149">
            <v>0</v>
          </cell>
          <cell r="AC149">
            <v>0</v>
          </cell>
          <cell r="AD149">
            <v>0</v>
          </cell>
          <cell r="AE149">
            <v>0</v>
          </cell>
          <cell r="AF149">
            <v>0</v>
          </cell>
          <cell r="AG149">
            <v>0</v>
          </cell>
          <cell r="AH149">
            <v>0</v>
          </cell>
          <cell r="AI149">
            <v>0</v>
          </cell>
          <cell r="AJ149">
            <v>0</v>
          </cell>
        </row>
        <row r="150">
          <cell r="B150" t="str">
            <v>a3-10</v>
          </cell>
          <cell r="G150">
            <v>0</v>
          </cell>
          <cell r="H150">
            <v>0</v>
          </cell>
          <cell r="I150">
            <v>0.125</v>
          </cell>
          <cell r="J150">
            <v>0.125</v>
          </cell>
          <cell r="K150">
            <v>0.125</v>
          </cell>
          <cell r="L150">
            <v>0.125</v>
          </cell>
          <cell r="M150">
            <v>0.125</v>
          </cell>
          <cell r="N150">
            <v>0.125</v>
          </cell>
          <cell r="O150">
            <v>0.125</v>
          </cell>
          <cell r="P150">
            <v>0.125</v>
          </cell>
          <cell r="Q150">
            <v>0</v>
          </cell>
          <cell r="R150">
            <v>0</v>
          </cell>
          <cell r="S150">
            <v>0</v>
          </cell>
          <cell r="T150">
            <v>0</v>
          </cell>
          <cell r="U150">
            <v>0</v>
          </cell>
          <cell r="V150">
            <v>0</v>
          </cell>
          <cell r="W150">
            <v>0</v>
          </cell>
          <cell r="X150">
            <v>0</v>
          </cell>
          <cell r="Y150">
            <v>0</v>
          </cell>
          <cell r="Z150">
            <v>0</v>
          </cell>
          <cell r="AA150">
            <v>0</v>
          </cell>
          <cell r="AB150">
            <v>0</v>
          </cell>
          <cell r="AC150">
            <v>0</v>
          </cell>
          <cell r="AD150">
            <v>0</v>
          </cell>
          <cell r="AE150">
            <v>0</v>
          </cell>
          <cell r="AF150">
            <v>0</v>
          </cell>
          <cell r="AG150">
            <v>0</v>
          </cell>
          <cell r="AH150">
            <v>0</v>
          </cell>
          <cell r="AI150">
            <v>0</v>
          </cell>
          <cell r="AJ150">
            <v>0</v>
          </cell>
        </row>
        <row r="151">
          <cell r="B151" t="str">
            <v>a3-11</v>
          </cell>
          <cell r="G151">
            <v>0</v>
          </cell>
          <cell r="H151">
            <v>0</v>
          </cell>
          <cell r="I151">
            <v>0.1111111111111111</v>
          </cell>
          <cell r="J151">
            <v>0.1111111111111111</v>
          </cell>
          <cell r="K151">
            <v>0.1111111111111111</v>
          </cell>
          <cell r="L151">
            <v>0.1111111111111111</v>
          </cell>
          <cell r="M151">
            <v>0.1111111111111111</v>
          </cell>
          <cell r="N151">
            <v>0.1111111111111111</v>
          </cell>
          <cell r="O151">
            <v>0.1111111111111111</v>
          </cell>
          <cell r="P151">
            <v>0.1111111111111111</v>
          </cell>
          <cell r="Q151">
            <v>0.1111111111111111</v>
          </cell>
          <cell r="R151">
            <v>0</v>
          </cell>
          <cell r="S151">
            <v>0</v>
          </cell>
          <cell r="T151">
            <v>0</v>
          </cell>
          <cell r="U151">
            <v>0</v>
          </cell>
          <cell r="V151">
            <v>0</v>
          </cell>
          <cell r="W151">
            <v>0</v>
          </cell>
          <cell r="X151">
            <v>0</v>
          </cell>
          <cell r="Y151">
            <v>0</v>
          </cell>
          <cell r="Z151">
            <v>0</v>
          </cell>
          <cell r="AA151">
            <v>0</v>
          </cell>
          <cell r="AB151">
            <v>0</v>
          </cell>
          <cell r="AC151">
            <v>0</v>
          </cell>
          <cell r="AD151">
            <v>0</v>
          </cell>
          <cell r="AE151">
            <v>0</v>
          </cell>
          <cell r="AF151">
            <v>0</v>
          </cell>
          <cell r="AG151">
            <v>0</v>
          </cell>
          <cell r="AH151">
            <v>0</v>
          </cell>
          <cell r="AI151">
            <v>0</v>
          </cell>
          <cell r="AJ151">
            <v>0</v>
          </cell>
        </row>
        <row r="152">
          <cell r="B152" t="str">
            <v>a4,5</v>
          </cell>
          <cell r="G152">
            <v>0</v>
          </cell>
          <cell r="H152">
            <v>0</v>
          </cell>
          <cell r="I152">
            <v>0</v>
          </cell>
          <cell r="J152">
            <v>0.5</v>
          </cell>
          <cell r="K152">
            <v>0.5</v>
          </cell>
          <cell r="L152">
            <v>0</v>
          </cell>
          <cell r="M152">
            <v>0</v>
          </cell>
          <cell r="N152">
            <v>0</v>
          </cell>
          <cell r="O152">
            <v>0</v>
          </cell>
          <cell r="P152">
            <v>0</v>
          </cell>
          <cell r="Q152">
            <v>0</v>
          </cell>
          <cell r="R152">
            <v>0</v>
          </cell>
          <cell r="S152">
            <v>0</v>
          </cell>
          <cell r="T152">
            <v>0</v>
          </cell>
          <cell r="U152">
            <v>0</v>
          </cell>
          <cell r="V152">
            <v>0</v>
          </cell>
          <cell r="W152">
            <v>0</v>
          </cell>
          <cell r="X152">
            <v>0</v>
          </cell>
          <cell r="Y152">
            <v>0</v>
          </cell>
          <cell r="Z152">
            <v>0</v>
          </cell>
          <cell r="AA152">
            <v>0</v>
          </cell>
          <cell r="AB152">
            <v>0</v>
          </cell>
          <cell r="AC152">
            <v>0</v>
          </cell>
          <cell r="AD152">
            <v>0</v>
          </cell>
          <cell r="AE152">
            <v>0</v>
          </cell>
          <cell r="AF152">
            <v>0</v>
          </cell>
          <cell r="AG152">
            <v>0</v>
          </cell>
          <cell r="AH152">
            <v>0</v>
          </cell>
          <cell r="AI152">
            <v>0</v>
          </cell>
          <cell r="AJ152">
            <v>0</v>
          </cell>
        </row>
        <row r="153">
          <cell r="B153" t="str">
            <v>a5-9</v>
          </cell>
          <cell r="G153">
            <v>0</v>
          </cell>
          <cell r="H153">
            <v>0</v>
          </cell>
          <cell r="I153">
            <v>0</v>
          </cell>
          <cell r="J153">
            <v>0.5</v>
          </cell>
          <cell r="K153">
            <v>0.5</v>
          </cell>
          <cell r="L153">
            <v>0</v>
          </cell>
          <cell r="M153">
            <v>0</v>
          </cell>
          <cell r="N153">
            <v>0</v>
          </cell>
          <cell r="O153">
            <v>0</v>
          </cell>
          <cell r="P153">
            <v>0</v>
          </cell>
          <cell r="Q153">
            <v>0</v>
          </cell>
          <cell r="R153">
            <v>0</v>
          </cell>
          <cell r="S153">
            <v>0</v>
          </cell>
          <cell r="T153">
            <v>0</v>
          </cell>
          <cell r="U153">
            <v>0</v>
          </cell>
          <cell r="V153">
            <v>0</v>
          </cell>
          <cell r="W153">
            <v>0</v>
          </cell>
          <cell r="X153">
            <v>0</v>
          </cell>
          <cell r="Y153">
            <v>0</v>
          </cell>
          <cell r="Z153">
            <v>0</v>
          </cell>
          <cell r="AA153">
            <v>0</v>
          </cell>
          <cell r="AB153">
            <v>0</v>
          </cell>
          <cell r="AC153">
            <v>0</v>
          </cell>
          <cell r="AD153">
            <v>0</v>
          </cell>
          <cell r="AE153">
            <v>0</v>
          </cell>
          <cell r="AF153">
            <v>0</v>
          </cell>
          <cell r="AG153">
            <v>0</v>
          </cell>
          <cell r="AH153">
            <v>0</v>
          </cell>
          <cell r="AI153">
            <v>0</v>
          </cell>
          <cell r="AJ153">
            <v>0</v>
          </cell>
        </row>
        <row r="154">
          <cell r="B154" t="str">
            <v>a20-30</v>
          </cell>
          <cell r="G154">
            <v>0</v>
          </cell>
          <cell r="H154">
            <v>0</v>
          </cell>
          <cell r="I154">
            <v>0</v>
          </cell>
          <cell r="J154">
            <v>0</v>
          </cell>
          <cell r="K154">
            <v>0.2</v>
          </cell>
          <cell r="L154">
            <v>0.2</v>
          </cell>
          <cell r="M154">
            <v>0.2</v>
          </cell>
          <cell r="N154">
            <v>0.2</v>
          </cell>
          <cell r="O154">
            <v>0.2</v>
          </cell>
          <cell r="P154">
            <v>0</v>
          </cell>
          <cell r="Q154">
            <v>0</v>
          </cell>
          <cell r="R154">
            <v>0</v>
          </cell>
          <cell r="S154">
            <v>0</v>
          </cell>
          <cell r="T154">
            <v>0</v>
          </cell>
          <cell r="U154">
            <v>0</v>
          </cell>
          <cell r="V154">
            <v>0</v>
          </cell>
          <cell r="W154">
            <v>0</v>
          </cell>
          <cell r="X154">
            <v>0</v>
          </cell>
          <cell r="Y154">
            <v>0</v>
          </cell>
          <cell r="Z154">
            <v>0</v>
          </cell>
          <cell r="AA154">
            <v>0</v>
          </cell>
          <cell r="AB154">
            <v>0</v>
          </cell>
          <cell r="AC154">
            <v>0</v>
          </cell>
          <cell r="AD154">
            <v>0</v>
          </cell>
          <cell r="AE154">
            <v>0</v>
          </cell>
          <cell r="AF154">
            <v>0</v>
          </cell>
          <cell r="AG154">
            <v>0</v>
          </cell>
          <cell r="AH154">
            <v>0</v>
          </cell>
          <cell r="AI154">
            <v>0</v>
          </cell>
          <cell r="AJ154">
            <v>0</v>
          </cell>
        </row>
        <row r="155">
          <cell r="B155" t="str">
            <v>PASSARELAS</v>
          </cell>
          <cell r="G155">
            <v>0</v>
          </cell>
          <cell r="H155">
            <v>0</v>
          </cell>
          <cell r="I155">
            <v>0</v>
          </cell>
          <cell r="J155">
            <v>0</v>
          </cell>
          <cell r="K155">
            <v>0</v>
          </cell>
          <cell r="L155">
            <v>0</v>
          </cell>
          <cell r="M155">
            <v>0</v>
          </cell>
          <cell r="N155">
            <v>0</v>
          </cell>
          <cell r="O155">
            <v>0</v>
          </cell>
          <cell r="P155">
            <v>0</v>
          </cell>
          <cell r="Q155">
            <v>0</v>
          </cell>
          <cell r="R155">
            <v>0</v>
          </cell>
          <cell r="S155">
            <v>0</v>
          </cell>
          <cell r="T155">
            <v>0</v>
          </cell>
          <cell r="U155">
            <v>0</v>
          </cell>
          <cell r="V155">
            <v>0</v>
          </cell>
          <cell r="W155">
            <v>0</v>
          </cell>
          <cell r="X155">
            <v>0</v>
          </cell>
          <cell r="Y155">
            <v>0</v>
          </cell>
          <cell r="Z155">
            <v>0</v>
          </cell>
          <cell r="AA155">
            <v>0</v>
          </cell>
          <cell r="AB155">
            <v>0</v>
          </cell>
          <cell r="AC155">
            <v>0</v>
          </cell>
          <cell r="AD155">
            <v>0</v>
          </cell>
          <cell r="AE155">
            <v>0</v>
          </cell>
          <cell r="AF155">
            <v>0</v>
          </cell>
          <cell r="AG155">
            <v>0</v>
          </cell>
          <cell r="AH155">
            <v>0</v>
          </cell>
          <cell r="AI155">
            <v>0</v>
          </cell>
          <cell r="AJ155">
            <v>0</v>
          </cell>
        </row>
        <row r="156">
          <cell r="B156" t="str">
            <v>p1</v>
          </cell>
          <cell r="G156">
            <v>0</v>
          </cell>
          <cell r="H156">
            <v>0</v>
          </cell>
          <cell r="I156">
            <v>0</v>
          </cell>
          <cell r="J156">
            <v>0</v>
          </cell>
          <cell r="K156">
            <v>1</v>
          </cell>
          <cell r="L156">
            <v>0</v>
          </cell>
          <cell r="M156">
            <v>0</v>
          </cell>
          <cell r="N156">
            <v>0</v>
          </cell>
          <cell r="O156">
            <v>0</v>
          </cell>
          <cell r="P156">
            <v>0</v>
          </cell>
          <cell r="Q156">
            <v>0</v>
          </cell>
          <cell r="R156">
            <v>0</v>
          </cell>
          <cell r="S156">
            <v>0</v>
          </cell>
          <cell r="T156">
            <v>0</v>
          </cell>
          <cell r="U156">
            <v>0</v>
          </cell>
          <cell r="V156">
            <v>0</v>
          </cell>
          <cell r="W156">
            <v>0</v>
          </cell>
          <cell r="X156">
            <v>0</v>
          </cell>
          <cell r="Y156">
            <v>0</v>
          </cell>
          <cell r="Z156">
            <v>0</v>
          </cell>
          <cell r="AA156">
            <v>0</v>
          </cell>
          <cell r="AB156">
            <v>0</v>
          </cell>
          <cell r="AC156">
            <v>0</v>
          </cell>
          <cell r="AD156">
            <v>0</v>
          </cell>
          <cell r="AE156">
            <v>0</v>
          </cell>
          <cell r="AF156">
            <v>0</v>
          </cell>
          <cell r="AG156">
            <v>0</v>
          </cell>
          <cell r="AH156">
            <v>0</v>
          </cell>
          <cell r="AI156">
            <v>0</v>
          </cell>
          <cell r="AJ156">
            <v>0</v>
          </cell>
        </row>
        <row r="157">
          <cell r="B157" t="str">
            <v>p2</v>
          </cell>
          <cell r="G157">
            <v>0</v>
          </cell>
          <cell r="H157">
            <v>0</v>
          </cell>
          <cell r="I157">
            <v>0</v>
          </cell>
          <cell r="J157">
            <v>0</v>
          </cell>
          <cell r="K157">
            <v>1</v>
          </cell>
          <cell r="L157">
            <v>0</v>
          </cell>
          <cell r="M157">
            <v>0</v>
          </cell>
          <cell r="N157">
            <v>0</v>
          </cell>
          <cell r="O157">
            <v>0</v>
          </cell>
          <cell r="P157">
            <v>0</v>
          </cell>
          <cell r="Q157">
            <v>0</v>
          </cell>
          <cell r="R157">
            <v>0</v>
          </cell>
          <cell r="S157">
            <v>0</v>
          </cell>
          <cell r="T157">
            <v>0</v>
          </cell>
          <cell r="U157">
            <v>0</v>
          </cell>
          <cell r="V157">
            <v>0</v>
          </cell>
          <cell r="W157">
            <v>0</v>
          </cell>
          <cell r="X157">
            <v>0</v>
          </cell>
          <cell r="Y157">
            <v>0</v>
          </cell>
          <cell r="Z157">
            <v>0</v>
          </cell>
          <cell r="AA157">
            <v>0</v>
          </cell>
          <cell r="AB157">
            <v>0</v>
          </cell>
          <cell r="AC157">
            <v>0</v>
          </cell>
          <cell r="AD157">
            <v>0</v>
          </cell>
          <cell r="AE157">
            <v>0</v>
          </cell>
          <cell r="AF157">
            <v>0</v>
          </cell>
          <cell r="AG157">
            <v>0</v>
          </cell>
          <cell r="AH157">
            <v>0</v>
          </cell>
          <cell r="AI157">
            <v>0</v>
          </cell>
          <cell r="AJ157">
            <v>0</v>
          </cell>
        </row>
        <row r="158">
          <cell r="B158" t="str">
            <v>p3</v>
          </cell>
          <cell r="G158">
            <v>0</v>
          </cell>
          <cell r="H158">
            <v>0</v>
          </cell>
          <cell r="I158">
            <v>0</v>
          </cell>
          <cell r="J158">
            <v>0</v>
          </cell>
          <cell r="K158">
            <v>1</v>
          </cell>
          <cell r="L158">
            <v>0</v>
          </cell>
          <cell r="M158">
            <v>0</v>
          </cell>
          <cell r="N158">
            <v>0</v>
          </cell>
          <cell r="O158">
            <v>0</v>
          </cell>
          <cell r="P158">
            <v>0</v>
          </cell>
          <cell r="Q158">
            <v>0</v>
          </cell>
          <cell r="R158">
            <v>0</v>
          </cell>
          <cell r="S158">
            <v>0</v>
          </cell>
          <cell r="T158">
            <v>0</v>
          </cell>
          <cell r="U158">
            <v>0</v>
          </cell>
          <cell r="V158">
            <v>0</v>
          </cell>
          <cell r="W158">
            <v>0</v>
          </cell>
          <cell r="X158">
            <v>0</v>
          </cell>
          <cell r="Y158">
            <v>0</v>
          </cell>
          <cell r="Z158">
            <v>0</v>
          </cell>
          <cell r="AA158">
            <v>0</v>
          </cell>
          <cell r="AB158">
            <v>0</v>
          </cell>
          <cell r="AC158">
            <v>0</v>
          </cell>
          <cell r="AD158">
            <v>0</v>
          </cell>
          <cell r="AE158">
            <v>0</v>
          </cell>
          <cell r="AF158">
            <v>0</v>
          </cell>
          <cell r="AG158">
            <v>0</v>
          </cell>
          <cell r="AH158">
            <v>0</v>
          </cell>
          <cell r="AI158">
            <v>0</v>
          </cell>
          <cell r="AJ158">
            <v>0</v>
          </cell>
        </row>
        <row r="159">
          <cell r="B159" t="str">
            <v>p4</v>
          </cell>
          <cell r="G159">
            <v>0</v>
          </cell>
          <cell r="H159">
            <v>0</v>
          </cell>
          <cell r="I159">
            <v>0</v>
          </cell>
          <cell r="J159">
            <v>0</v>
          </cell>
          <cell r="K159">
            <v>0.6</v>
          </cell>
          <cell r="L159">
            <v>0.4</v>
          </cell>
          <cell r="M159">
            <v>0</v>
          </cell>
          <cell r="N159">
            <v>0</v>
          </cell>
          <cell r="O159">
            <v>0</v>
          </cell>
          <cell r="P159">
            <v>0</v>
          </cell>
          <cell r="Q159">
            <v>0</v>
          </cell>
          <cell r="R159">
            <v>0</v>
          </cell>
          <cell r="S159">
            <v>0</v>
          </cell>
          <cell r="T159">
            <v>0</v>
          </cell>
          <cell r="U159">
            <v>0</v>
          </cell>
          <cell r="V159">
            <v>0</v>
          </cell>
          <cell r="W159">
            <v>0</v>
          </cell>
          <cell r="X159">
            <v>0</v>
          </cell>
          <cell r="Y159">
            <v>0</v>
          </cell>
          <cell r="Z159">
            <v>0</v>
          </cell>
          <cell r="AA159">
            <v>0</v>
          </cell>
          <cell r="AB159">
            <v>0</v>
          </cell>
          <cell r="AC159">
            <v>0</v>
          </cell>
          <cell r="AD159">
            <v>0</v>
          </cell>
          <cell r="AE159">
            <v>0</v>
          </cell>
          <cell r="AF159">
            <v>0</v>
          </cell>
          <cell r="AG159">
            <v>0</v>
          </cell>
          <cell r="AH159">
            <v>0</v>
          </cell>
          <cell r="AI159">
            <v>0</v>
          </cell>
          <cell r="AJ159">
            <v>0</v>
          </cell>
        </row>
        <row r="160">
          <cell r="B160" t="str">
            <v>p5</v>
          </cell>
          <cell r="G160">
            <v>0</v>
          </cell>
          <cell r="H160">
            <v>0</v>
          </cell>
          <cell r="I160">
            <v>0</v>
          </cell>
          <cell r="J160">
            <v>0</v>
          </cell>
          <cell r="K160">
            <v>0</v>
          </cell>
          <cell r="L160">
            <v>1</v>
          </cell>
          <cell r="M160">
            <v>0</v>
          </cell>
          <cell r="N160">
            <v>0</v>
          </cell>
          <cell r="O160">
            <v>0</v>
          </cell>
          <cell r="P160">
            <v>0</v>
          </cell>
          <cell r="Q160">
            <v>0</v>
          </cell>
          <cell r="R160">
            <v>0</v>
          </cell>
          <cell r="S160">
            <v>0</v>
          </cell>
          <cell r="T160">
            <v>0</v>
          </cell>
          <cell r="U160">
            <v>0</v>
          </cell>
          <cell r="V160">
            <v>0</v>
          </cell>
          <cell r="W160">
            <v>0</v>
          </cell>
          <cell r="X160">
            <v>0</v>
          </cell>
          <cell r="Y160">
            <v>0</v>
          </cell>
          <cell r="Z160">
            <v>0</v>
          </cell>
          <cell r="AA160">
            <v>0</v>
          </cell>
          <cell r="AB160">
            <v>0</v>
          </cell>
          <cell r="AC160">
            <v>0</v>
          </cell>
          <cell r="AD160">
            <v>0</v>
          </cell>
          <cell r="AE160">
            <v>0</v>
          </cell>
          <cell r="AF160">
            <v>0</v>
          </cell>
          <cell r="AG160">
            <v>0</v>
          </cell>
          <cell r="AH160">
            <v>0</v>
          </cell>
          <cell r="AI160">
            <v>0</v>
          </cell>
          <cell r="AJ160">
            <v>0</v>
          </cell>
        </row>
        <row r="161">
          <cell r="B161" t="str">
            <v>p6</v>
          </cell>
          <cell r="G161">
            <v>0</v>
          </cell>
          <cell r="H161">
            <v>0</v>
          </cell>
          <cell r="I161">
            <v>0</v>
          </cell>
          <cell r="J161">
            <v>0</v>
          </cell>
          <cell r="K161">
            <v>0</v>
          </cell>
          <cell r="L161">
            <v>0.5</v>
          </cell>
          <cell r="M161">
            <v>0.5</v>
          </cell>
          <cell r="N161">
            <v>0</v>
          </cell>
          <cell r="O161">
            <v>0</v>
          </cell>
          <cell r="P161">
            <v>0</v>
          </cell>
          <cell r="Q161">
            <v>0</v>
          </cell>
          <cell r="R161">
            <v>0</v>
          </cell>
          <cell r="S161">
            <v>0</v>
          </cell>
          <cell r="T161">
            <v>0</v>
          </cell>
          <cell r="U161">
            <v>0</v>
          </cell>
          <cell r="V161">
            <v>0</v>
          </cell>
          <cell r="W161">
            <v>0</v>
          </cell>
          <cell r="X161">
            <v>0</v>
          </cell>
          <cell r="Y161">
            <v>0</v>
          </cell>
          <cell r="Z161">
            <v>0</v>
          </cell>
          <cell r="AA161">
            <v>0</v>
          </cell>
          <cell r="AB161">
            <v>0</v>
          </cell>
          <cell r="AC161">
            <v>0</v>
          </cell>
          <cell r="AD161">
            <v>0</v>
          </cell>
          <cell r="AE161">
            <v>0</v>
          </cell>
          <cell r="AF161">
            <v>0</v>
          </cell>
          <cell r="AG161">
            <v>0</v>
          </cell>
          <cell r="AH161">
            <v>0</v>
          </cell>
          <cell r="AI161">
            <v>0</v>
          </cell>
          <cell r="AJ161">
            <v>0</v>
          </cell>
        </row>
        <row r="162">
          <cell r="B162" t="str">
            <v>p7</v>
          </cell>
          <cell r="G162">
            <v>0</v>
          </cell>
          <cell r="H162">
            <v>0</v>
          </cell>
          <cell r="I162">
            <v>0</v>
          </cell>
          <cell r="J162">
            <v>0</v>
          </cell>
          <cell r="K162">
            <v>0</v>
          </cell>
          <cell r="L162">
            <v>0</v>
          </cell>
          <cell r="M162">
            <v>0.7</v>
          </cell>
          <cell r="N162">
            <v>0.3</v>
          </cell>
          <cell r="O162">
            <v>0</v>
          </cell>
          <cell r="P162">
            <v>0</v>
          </cell>
          <cell r="Q162">
            <v>0</v>
          </cell>
          <cell r="R162">
            <v>0</v>
          </cell>
          <cell r="S162">
            <v>0</v>
          </cell>
          <cell r="T162">
            <v>0</v>
          </cell>
          <cell r="U162">
            <v>0</v>
          </cell>
          <cell r="V162">
            <v>0</v>
          </cell>
          <cell r="W162">
            <v>0</v>
          </cell>
          <cell r="X162">
            <v>0</v>
          </cell>
          <cell r="Y162">
            <v>0</v>
          </cell>
          <cell r="Z162">
            <v>0</v>
          </cell>
          <cell r="AA162">
            <v>0</v>
          </cell>
          <cell r="AB162">
            <v>0</v>
          </cell>
          <cell r="AC162">
            <v>0</v>
          </cell>
          <cell r="AD162">
            <v>0</v>
          </cell>
          <cell r="AE162">
            <v>0</v>
          </cell>
          <cell r="AF162">
            <v>0</v>
          </cell>
          <cell r="AG162">
            <v>0</v>
          </cell>
          <cell r="AH162">
            <v>0</v>
          </cell>
          <cell r="AI162">
            <v>0</v>
          </cell>
          <cell r="AJ162">
            <v>0</v>
          </cell>
        </row>
        <row r="163">
          <cell r="B163" t="str">
            <v>p8</v>
          </cell>
          <cell r="G163">
            <v>0</v>
          </cell>
          <cell r="H163">
            <v>0</v>
          </cell>
          <cell r="I163">
            <v>0</v>
          </cell>
          <cell r="J163">
            <v>0</v>
          </cell>
          <cell r="K163">
            <v>0</v>
          </cell>
          <cell r="L163">
            <v>0</v>
          </cell>
          <cell r="M163">
            <v>0</v>
          </cell>
          <cell r="N163">
            <v>0</v>
          </cell>
          <cell r="O163">
            <v>1</v>
          </cell>
          <cell r="P163">
            <v>0</v>
          </cell>
          <cell r="Q163">
            <v>0</v>
          </cell>
          <cell r="R163">
            <v>0</v>
          </cell>
          <cell r="S163">
            <v>0</v>
          </cell>
          <cell r="T163">
            <v>0</v>
          </cell>
          <cell r="U163">
            <v>0</v>
          </cell>
          <cell r="V163">
            <v>0</v>
          </cell>
          <cell r="W163">
            <v>0</v>
          </cell>
          <cell r="X163">
            <v>0</v>
          </cell>
          <cell r="Y163">
            <v>0</v>
          </cell>
          <cell r="Z163">
            <v>0</v>
          </cell>
          <cell r="AA163">
            <v>0</v>
          </cell>
          <cell r="AB163">
            <v>0</v>
          </cell>
          <cell r="AC163">
            <v>0</v>
          </cell>
          <cell r="AD163">
            <v>0</v>
          </cell>
          <cell r="AE163">
            <v>0</v>
          </cell>
          <cell r="AF163">
            <v>0</v>
          </cell>
          <cell r="AG163">
            <v>0</v>
          </cell>
          <cell r="AH163">
            <v>0</v>
          </cell>
          <cell r="AI163">
            <v>0</v>
          </cell>
          <cell r="AJ163">
            <v>0</v>
          </cell>
        </row>
        <row r="164">
          <cell r="B164" t="str">
            <v>p9</v>
          </cell>
          <cell r="G164">
            <v>0</v>
          </cell>
          <cell r="H164">
            <v>0</v>
          </cell>
          <cell r="I164">
            <v>0</v>
          </cell>
          <cell r="J164">
            <v>0</v>
          </cell>
          <cell r="K164">
            <v>0</v>
          </cell>
          <cell r="L164">
            <v>0</v>
          </cell>
          <cell r="M164">
            <v>0</v>
          </cell>
          <cell r="N164">
            <v>0</v>
          </cell>
          <cell r="O164">
            <v>1</v>
          </cell>
          <cell r="P164">
            <v>0</v>
          </cell>
          <cell r="Q164">
            <v>0</v>
          </cell>
          <cell r="R164">
            <v>0</v>
          </cell>
          <cell r="S164">
            <v>0</v>
          </cell>
          <cell r="T164">
            <v>0</v>
          </cell>
          <cell r="U164">
            <v>0</v>
          </cell>
          <cell r="V164">
            <v>0</v>
          </cell>
          <cell r="W164">
            <v>0</v>
          </cell>
          <cell r="X164">
            <v>0</v>
          </cell>
          <cell r="Y164">
            <v>0</v>
          </cell>
          <cell r="Z164">
            <v>0</v>
          </cell>
          <cell r="AA164">
            <v>0</v>
          </cell>
          <cell r="AB164">
            <v>0</v>
          </cell>
          <cell r="AC164">
            <v>0</v>
          </cell>
          <cell r="AD164">
            <v>0</v>
          </cell>
          <cell r="AE164">
            <v>0</v>
          </cell>
          <cell r="AF164">
            <v>0</v>
          </cell>
          <cell r="AG164">
            <v>0</v>
          </cell>
          <cell r="AH164">
            <v>0</v>
          </cell>
          <cell r="AI164">
            <v>0</v>
          </cell>
          <cell r="AJ164">
            <v>0</v>
          </cell>
        </row>
        <row r="165">
          <cell r="B165" t="str">
            <v>p10</v>
          </cell>
          <cell r="G165">
            <v>0</v>
          </cell>
          <cell r="H165">
            <v>0</v>
          </cell>
          <cell r="I165">
            <v>0</v>
          </cell>
          <cell r="J165">
            <v>0</v>
          </cell>
          <cell r="K165">
            <v>0</v>
          </cell>
          <cell r="L165">
            <v>0</v>
          </cell>
          <cell r="M165">
            <v>0</v>
          </cell>
          <cell r="N165">
            <v>1</v>
          </cell>
          <cell r="O165">
            <v>0</v>
          </cell>
          <cell r="P165">
            <v>0</v>
          </cell>
          <cell r="Q165">
            <v>0</v>
          </cell>
          <cell r="R165">
            <v>0</v>
          </cell>
          <cell r="S165">
            <v>0</v>
          </cell>
          <cell r="T165">
            <v>0</v>
          </cell>
          <cell r="U165">
            <v>0</v>
          </cell>
          <cell r="V165">
            <v>0</v>
          </cell>
          <cell r="W165">
            <v>0</v>
          </cell>
          <cell r="X165">
            <v>0</v>
          </cell>
          <cell r="Y165">
            <v>0</v>
          </cell>
          <cell r="Z165">
            <v>0</v>
          </cell>
          <cell r="AA165">
            <v>0</v>
          </cell>
          <cell r="AB165">
            <v>0</v>
          </cell>
          <cell r="AC165">
            <v>0</v>
          </cell>
          <cell r="AD165">
            <v>0</v>
          </cell>
          <cell r="AE165">
            <v>0</v>
          </cell>
          <cell r="AF165">
            <v>0</v>
          </cell>
          <cell r="AG165">
            <v>0</v>
          </cell>
          <cell r="AH165">
            <v>0</v>
          </cell>
          <cell r="AI165">
            <v>0</v>
          </cell>
          <cell r="AJ165">
            <v>0</v>
          </cell>
        </row>
        <row r="166">
          <cell r="B166" t="str">
            <v>p11</v>
          </cell>
          <cell r="G166">
            <v>0</v>
          </cell>
          <cell r="H166">
            <v>0</v>
          </cell>
          <cell r="I166">
            <v>0</v>
          </cell>
          <cell r="J166">
            <v>0</v>
          </cell>
          <cell r="K166">
            <v>0</v>
          </cell>
          <cell r="L166">
            <v>0</v>
          </cell>
          <cell r="M166">
            <v>0</v>
          </cell>
          <cell r="N166">
            <v>0</v>
          </cell>
          <cell r="O166">
            <v>1</v>
          </cell>
          <cell r="P166">
            <v>0</v>
          </cell>
          <cell r="Q166">
            <v>0</v>
          </cell>
          <cell r="R166">
            <v>0</v>
          </cell>
          <cell r="S166">
            <v>0</v>
          </cell>
          <cell r="T166">
            <v>0</v>
          </cell>
          <cell r="U166">
            <v>0</v>
          </cell>
          <cell r="V166">
            <v>0</v>
          </cell>
          <cell r="W166">
            <v>0</v>
          </cell>
          <cell r="X166">
            <v>0</v>
          </cell>
          <cell r="Y166">
            <v>0</v>
          </cell>
          <cell r="Z166">
            <v>0</v>
          </cell>
          <cell r="AA166">
            <v>0</v>
          </cell>
          <cell r="AB166">
            <v>0</v>
          </cell>
          <cell r="AC166">
            <v>0</v>
          </cell>
          <cell r="AD166">
            <v>0</v>
          </cell>
          <cell r="AE166">
            <v>0</v>
          </cell>
          <cell r="AF166">
            <v>0</v>
          </cell>
          <cell r="AG166">
            <v>0</v>
          </cell>
          <cell r="AH166">
            <v>0</v>
          </cell>
          <cell r="AI166">
            <v>0</v>
          </cell>
          <cell r="AJ166">
            <v>0</v>
          </cell>
        </row>
        <row r="167">
          <cell r="B167" t="str">
            <v>p12</v>
          </cell>
          <cell r="G167">
            <v>0</v>
          </cell>
          <cell r="H167">
            <v>0</v>
          </cell>
          <cell r="I167">
            <v>0.25</v>
          </cell>
          <cell r="J167">
            <v>0.25</v>
          </cell>
          <cell r="K167">
            <v>0.25</v>
          </cell>
          <cell r="L167">
            <v>0.25</v>
          </cell>
          <cell r="M167">
            <v>0</v>
          </cell>
          <cell r="N167">
            <v>0</v>
          </cell>
          <cell r="O167">
            <v>0</v>
          </cell>
          <cell r="P167">
            <v>0</v>
          </cell>
          <cell r="Q167">
            <v>0</v>
          </cell>
          <cell r="R167">
            <v>0</v>
          </cell>
          <cell r="S167">
            <v>0</v>
          </cell>
          <cell r="T167">
            <v>0</v>
          </cell>
          <cell r="U167">
            <v>0</v>
          </cell>
          <cell r="V167">
            <v>0</v>
          </cell>
          <cell r="W167">
            <v>0</v>
          </cell>
          <cell r="X167">
            <v>0</v>
          </cell>
          <cell r="Y167">
            <v>0</v>
          </cell>
          <cell r="Z167">
            <v>0</v>
          </cell>
          <cell r="AA167">
            <v>0</v>
          </cell>
          <cell r="AB167">
            <v>0</v>
          </cell>
          <cell r="AC167">
            <v>0</v>
          </cell>
          <cell r="AD167">
            <v>0</v>
          </cell>
          <cell r="AE167">
            <v>0</v>
          </cell>
          <cell r="AF167">
            <v>0</v>
          </cell>
          <cell r="AG167">
            <v>0</v>
          </cell>
          <cell r="AH167">
            <v>0</v>
          </cell>
          <cell r="AI167">
            <v>0</v>
          </cell>
          <cell r="AJ167">
            <v>0</v>
          </cell>
        </row>
        <row r="168">
          <cell r="B168" t="str">
            <v>p13</v>
          </cell>
          <cell r="G168">
            <v>0</v>
          </cell>
          <cell r="H168">
            <v>0</v>
          </cell>
          <cell r="I168">
            <v>0</v>
          </cell>
          <cell r="J168">
            <v>0</v>
          </cell>
          <cell r="K168">
            <v>0</v>
          </cell>
          <cell r="L168">
            <v>0</v>
          </cell>
          <cell r="M168">
            <v>1</v>
          </cell>
          <cell r="N168">
            <v>0</v>
          </cell>
          <cell r="O168">
            <v>0</v>
          </cell>
          <cell r="P168">
            <v>0</v>
          </cell>
          <cell r="Q168">
            <v>0</v>
          </cell>
          <cell r="R168">
            <v>0</v>
          </cell>
          <cell r="S168">
            <v>0</v>
          </cell>
          <cell r="T168">
            <v>0</v>
          </cell>
          <cell r="U168">
            <v>0</v>
          </cell>
          <cell r="V168">
            <v>0</v>
          </cell>
          <cell r="W168">
            <v>0</v>
          </cell>
          <cell r="X168">
            <v>0</v>
          </cell>
          <cell r="Y168">
            <v>0</v>
          </cell>
          <cell r="Z168">
            <v>0</v>
          </cell>
          <cell r="AA168">
            <v>0</v>
          </cell>
          <cell r="AB168">
            <v>0</v>
          </cell>
          <cell r="AC168">
            <v>0</v>
          </cell>
          <cell r="AD168">
            <v>0</v>
          </cell>
          <cell r="AE168">
            <v>0</v>
          </cell>
          <cell r="AF168">
            <v>0</v>
          </cell>
          <cell r="AG168">
            <v>0</v>
          </cell>
          <cell r="AH168">
            <v>0</v>
          </cell>
          <cell r="AI168">
            <v>0</v>
          </cell>
          <cell r="AJ168">
            <v>0</v>
          </cell>
        </row>
        <row r="169">
          <cell r="B169" t="str">
            <v>p14</v>
          </cell>
          <cell r="G169">
            <v>0</v>
          </cell>
          <cell r="H169">
            <v>0</v>
          </cell>
          <cell r="I169">
            <v>0</v>
          </cell>
          <cell r="J169">
            <v>0</v>
          </cell>
          <cell r="K169">
            <v>0</v>
          </cell>
          <cell r="L169">
            <v>0</v>
          </cell>
          <cell r="M169">
            <v>0</v>
          </cell>
          <cell r="N169">
            <v>0</v>
          </cell>
          <cell r="O169">
            <v>0</v>
          </cell>
          <cell r="P169">
            <v>1</v>
          </cell>
          <cell r="Q169">
            <v>0</v>
          </cell>
          <cell r="R169">
            <v>0</v>
          </cell>
          <cell r="S169">
            <v>0</v>
          </cell>
          <cell r="T169">
            <v>0</v>
          </cell>
          <cell r="U169">
            <v>0</v>
          </cell>
          <cell r="V169">
            <v>0</v>
          </cell>
          <cell r="W169">
            <v>0</v>
          </cell>
          <cell r="X169">
            <v>0</v>
          </cell>
          <cell r="Y169">
            <v>0</v>
          </cell>
          <cell r="Z169">
            <v>0</v>
          </cell>
          <cell r="AA169">
            <v>0</v>
          </cell>
          <cell r="AB169">
            <v>0</v>
          </cell>
          <cell r="AC169">
            <v>0</v>
          </cell>
          <cell r="AD169">
            <v>0</v>
          </cell>
          <cell r="AE169">
            <v>0</v>
          </cell>
          <cell r="AF169">
            <v>0</v>
          </cell>
          <cell r="AG169">
            <v>0</v>
          </cell>
          <cell r="AH169">
            <v>0</v>
          </cell>
          <cell r="AI169">
            <v>0</v>
          </cell>
          <cell r="AJ169">
            <v>0</v>
          </cell>
        </row>
        <row r="170">
          <cell r="B170" t="str">
            <v>p15</v>
          </cell>
          <cell r="G170">
            <v>0</v>
          </cell>
          <cell r="H170">
            <v>0</v>
          </cell>
          <cell r="I170">
            <v>0</v>
          </cell>
          <cell r="J170">
            <v>0</v>
          </cell>
          <cell r="K170">
            <v>0</v>
          </cell>
          <cell r="L170">
            <v>0</v>
          </cell>
          <cell r="M170">
            <v>0</v>
          </cell>
          <cell r="N170">
            <v>0</v>
          </cell>
          <cell r="O170">
            <v>0</v>
          </cell>
          <cell r="P170">
            <v>1</v>
          </cell>
          <cell r="Q170">
            <v>0</v>
          </cell>
          <cell r="R170">
            <v>0</v>
          </cell>
          <cell r="S170">
            <v>0</v>
          </cell>
          <cell r="T170">
            <v>0</v>
          </cell>
          <cell r="U170">
            <v>0</v>
          </cell>
          <cell r="V170">
            <v>0</v>
          </cell>
          <cell r="W170">
            <v>0</v>
          </cell>
          <cell r="X170">
            <v>0</v>
          </cell>
          <cell r="Y170">
            <v>0</v>
          </cell>
          <cell r="Z170">
            <v>0</v>
          </cell>
          <cell r="AA170">
            <v>0</v>
          </cell>
          <cell r="AB170">
            <v>0</v>
          </cell>
          <cell r="AC170">
            <v>0</v>
          </cell>
          <cell r="AD170">
            <v>0</v>
          </cell>
          <cell r="AE170">
            <v>0</v>
          </cell>
          <cell r="AF170">
            <v>0</v>
          </cell>
          <cell r="AG170">
            <v>0</v>
          </cell>
          <cell r="AH170">
            <v>0</v>
          </cell>
          <cell r="AI170">
            <v>0</v>
          </cell>
          <cell r="AJ170">
            <v>0</v>
          </cell>
        </row>
        <row r="171">
          <cell r="B171" t="str">
            <v>p16</v>
          </cell>
          <cell r="G171">
            <v>0</v>
          </cell>
          <cell r="H171">
            <v>0</v>
          </cell>
          <cell r="I171">
            <v>0</v>
          </cell>
          <cell r="J171">
            <v>0</v>
          </cell>
          <cell r="K171">
            <v>0</v>
          </cell>
          <cell r="L171">
            <v>0</v>
          </cell>
          <cell r="M171">
            <v>0</v>
          </cell>
          <cell r="N171">
            <v>0</v>
          </cell>
          <cell r="O171">
            <v>0</v>
          </cell>
          <cell r="P171">
            <v>0</v>
          </cell>
          <cell r="Q171">
            <v>1</v>
          </cell>
          <cell r="R171">
            <v>0</v>
          </cell>
          <cell r="S171">
            <v>0</v>
          </cell>
          <cell r="T171">
            <v>0</v>
          </cell>
          <cell r="U171">
            <v>0</v>
          </cell>
          <cell r="V171">
            <v>0</v>
          </cell>
          <cell r="W171">
            <v>0</v>
          </cell>
          <cell r="X171">
            <v>0</v>
          </cell>
          <cell r="Y171">
            <v>0</v>
          </cell>
          <cell r="Z171">
            <v>0</v>
          </cell>
          <cell r="AA171">
            <v>0</v>
          </cell>
          <cell r="AB171">
            <v>0</v>
          </cell>
          <cell r="AC171">
            <v>0</v>
          </cell>
          <cell r="AD171">
            <v>0</v>
          </cell>
          <cell r="AE171">
            <v>0</v>
          </cell>
          <cell r="AF171">
            <v>0</v>
          </cell>
          <cell r="AG171">
            <v>0</v>
          </cell>
          <cell r="AH171">
            <v>0</v>
          </cell>
          <cell r="AI171">
            <v>0</v>
          </cell>
          <cell r="AJ171">
            <v>0</v>
          </cell>
        </row>
        <row r="172">
          <cell r="B172" t="str">
            <v>p17</v>
          </cell>
          <cell r="G172">
            <v>0</v>
          </cell>
          <cell r="H172">
            <v>0</v>
          </cell>
          <cell r="I172">
            <v>0</v>
          </cell>
          <cell r="J172">
            <v>0</v>
          </cell>
          <cell r="K172">
            <v>0</v>
          </cell>
          <cell r="L172">
            <v>0</v>
          </cell>
          <cell r="M172">
            <v>1</v>
          </cell>
          <cell r="N172">
            <v>0</v>
          </cell>
          <cell r="O172">
            <v>0</v>
          </cell>
          <cell r="P172">
            <v>0</v>
          </cell>
          <cell r="Q172">
            <v>0</v>
          </cell>
          <cell r="R172">
            <v>0</v>
          </cell>
          <cell r="S172">
            <v>0</v>
          </cell>
          <cell r="T172">
            <v>0</v>
          </cell>
          <cell r="U172">
            <v>0</v>
          </cell>
          <cell r="V172">
            <v>0</v>
          </cell>
          <cell r="W172">
            <v>0</v>
          </cell>
          <cell r="X172">
            <v>0</v>
          </cell>
          <cell r="Y172">
            <v>0</v>
          </cell>
          <cell r="Z172">
            <v>0</v>
          </cell>
          <cell r="AA172">
            <v>0</v>
          </cell>
          <cell r="AB172">
            <v>0</v>
          </cell>
          <cell r="AC172">
            <v>0</v>
          </cell>
          <cell r="AD172">
            <v>0</v>
          </cell>
          <cell r="AE172">
            <v>0</v>
          </cell>
          <cell r="AF172">
            <v>0</v>
          </cell>
          <cell r="AG172">
            <v>0</v>
          </cell>
          <cell r="AH172">
            <v>0</v>
          </cell>
          <cell r="AI172">
            <v>0</v>
          </cell>
          <cell r="AJ172">
            <v>0</v>
          </cell>
        </row>
        <row r="173">
          <cell r="B173" t="str">
            <v>p18</v>
          </cell>
          <cell r="G173">
            <v>0</v>
          </cell>
          <cell r="H173">
            <v>0</v>
          </cell>
          <cell r="I173">
            <v>0</v>
          </cell>
          <cell r="J173">
            <v>0</v>
          </cell>
          <cell r="K173">
            <v>0</v>
          </cell>
          <cell r="L173">
            <v>0</v>
          </cell>
          <cell r="M173">
            <v>0</v>
          </cell>
          <cell r="N173">
            <v>0.5</v>
          </cell>
          <cell r="O173">
            <v>0.5</v>
          </cell>
          <cell r="P173">
            <v>0</v>
          </cell>
          <cell r="Q173">
            <v>0</v>
          </cell>
          <cell r="R173">
            <v>0</v>
          </cell>
          <cell r="S173">
            <v>0</v>
          </cell>
          <cell r="T173">
            <v>0</v>
          </cell>
          <cell r="U173">
            <v>0</v>
          </cell>
          <cell r="V173">
            <v>0</v>
          </cell>
          <cell r="W173">
            <v>0</v>
          </cell>
          <cell r="X173">
            <v>0</v>
          </cell>
          <cell r="Y173">
            <v>0</v>
          </cell>
          <cell r="Z173">
            <v>0</v>
          </cell>
          <cell r="AA173">
            <v>0</v>
          </cell>
          <cell r="AB173">
            <v>0</v>
          </cell>
          <cell r="AC173">
            <v>0</v>
          </cell>
          <cell r="AD173">
            <v>0</v>
          </cell>
          <cell r="AE173">
            <v>0</v>
          </cell>
          <cell r="AF173">
            <v>0</v>
          </cell>
          <cell r="AG173">
            <v>0</v>
          </cell>
          <cell r="AH173">
            <v>0</v>
          </cell>
          <cell r="AI173">
            <v>0</v>
          </cell>
          <cell r="AJ173">
            <v>0</v>
          </cell>
        </row>
        <row r="174">
          <cell r="B174" t="str">
            <v>p19</v>
          </cell>
          <cell r="G174">
            <v>0</v>
          </cell>
          <cell r="H174">
            <v>0</v>
          </cell>
          <cell r="I174">
            <v>0</v>
          </cell>
          <cell r="J174">
            <v>0</v>
          </cell>
          <cell r="K174">
            <v>0</v>
          </cell>
          <cell r="L174">
            <v>0</v>
          </cell>
          <cell r="M174">
            <v>0</v>
          </cell>
          <cell r="N174">
            <v>0</v>
          </cell>
          <cell r="O174">
            <v>0</v>
          </cell>
          <cell r="P174">
            <v>1</v>
          </cell>
          <cell r="Q174">
            <v>0</v>
          </cell>
          <cell r="R174">
            <v>0</v>
          </cell>
          <cell r="S174">
            <v>0</v>
          </cell>
          <cell r="T174">
            <v>0</v>
          </cell>
          <cell r="U174">
            <v>0</v>
          </cell>
          <cell r="V174">
            <v>0</v>
          </cell>
          <cell r="W174">
            <v>0</v>
          </cell>
          <cell r="X174">
            <v>0</v>
          </cell>
          <cell r="Y174">
            <v>0</v>
          </cell>
          <cell r="Z174">
            <v>0</v>
          </cell>
          <cell r="AA174">
            <v>0</v>
          </cell>
          <cell r="AB174">
            <v>0</v>
          </cell>
          <cell r="AC174">
            <v>0</v>
          </cell>
          <cell r="AD174">
            <v>0</v>
          </cell>
          <cell r="AE174">
            <v>0</v>
          </cell>
          <cell r="AF174">
            <v>0</v>
          </cell>
          <cell r="AG174">
            <v>0</v>
          </cell>
          <cell r="AH174">
            <v>0</v>
          </cell>
          <cell r="AI174">
            <v>0</v>
          </cell>
          <cell r="AJ174">
            <v>0</v>
          </cell>
        </row>
        <row r="175">
          <cell r="B175" t="str">
            <v>p20</v>
          </cell>
          <cell r="G175">
            <v>0</v>
          </cell>
          <cell r="H175">
            <v>0</v>
          </cell>
          <cell r="I175">
            <v>0</v>
          </cell>
          <cell r="J175">
            <v>0</v>
          </cell>
          <cell r="K175">
            <v>0</v>
          </cell>
          <cell r="L175">
            <v>0</v>
          </cell>
          <cell r="M175">
            <v>0</v>
          </cell>
          <cell r="N175">
            <v>0</v>
          </cell>
          <cell r="O175">
            <v>0</v>
          </cell>
          <cell r="P175">
            <v>0</v>
          </cell>
          <cell r="Q175">
            <v>1</v>
          </cell>
          <cell r="R175">
            <v>0</v>
          </cell>
          <cell r="S175">
            <v>0</v>
          </cell>
          <cell r="T175">
            <v>0</v>
          </cell>
          <cell r="U175">
            <v>0</v>
          </cell>
          <cell r="V175">
            <v>0</v>
          </cell>
          <cell r="W175">
            <v>0</v>
          </cell>
          <cell r="X175">
            <v>0</v>
          </cell>
          <cell r="Y175">
            <v>0</v>
          </cell>
          <cell r="Z175">
            <v>0</v>
          </cell>
          <cell r="AA175">
            <v>0</v>
          </cell>
          <cell r="AB175">
            <v>0</v>
          </cell>
          <cell r="AC175">
            <v>0</v>
          </cell>
          <cell r="AD175">
            <v>0</v>
          </cell>
          <cell r="AE175">
            <v>0</v>
          </cell>
          <cell r="AF175">
            <v>0</v>
          </cell>
          <cell r="AG175">
            <v>0</v>
          </cell>
          <cell r="AH175">
            <v>0</v>
          </cell>
          <cell r="AI175">
            <v>0</v>
          </cell>
          <cell r="AJ175">
            <v>0</v>
          </cell>
        </row>
        <row r="176">
          <cell r="B176" t="str">
            <v>p21</v>
          </cell>
          <cell r="G176">
            <v>0</v>
          </cell>
          <cell r="H176">
            <v>0</v>
          </cell>
          <cell r="I176">
            <v>0</v>
          </cell>
          <cell r="J176">
            <v>0</v>
          </cell>
          <cell r="K176">
            <v>0</v>
          </cell>
          <cell r="L176">
            <v>0</v>
          </cell>
          <cell r="M176">
            <v>0</v>
          </cell>
          <cell r="N176">
            <v>0</v>
          </cell>
          <cell r="O176">
            <v>0</v>
          </cell>
          <cell r="P176">
            <v>0</v>
          </cell>
          <cell r="Q176">
            <v>1</v>
          </cell>
          <cell r="R176">
            <v>0</v>
          </cell>
          <cell r="S176">
            <v>0</v>
          </cell>
          <cell r="T176">
            <v>0</v>
          </cell>
          <cell r="U176">
            <v>0</v>
          </cell>
          <cell r="V176">
            <v>0</v>
          </cell>
          <cell r="W176">
            <v>0</v>
          </cell>
          <cell r="X176">
            <v>0</v>
          </cell>
          <cell r="Y176">
            <v>0</v>
          </cell>
          <cell r="Z176">
            <v>0</v>
          </cell>
          <cell r="AA176">
            <v>0</v>
          </cell>
          <cell r="AB176">
            <v>0</v>
          </cell>
          <cell r="AC176">
            <v>0</v>
          </cell>
          <cell r="AD176">
            <v>0</v>
          </cell>
          <cell r="AE176">
            <v>0</v>
          </cell>
          <cell r="AF176">
            <v>0</v>
          </cell>
          <cell r="AG176">
            <v>0</v>
          </cell>
          <cell r="AH176">
            <v>0</v>
          </cell>
          <cell r="AI176">
            <v>0</v>
          </cell>
          <cell r="AJ176">
            <v>0</v>
          </cell>
        </row>
        <row r="177">
          <cell r="B177" t="str">
            <v>p22</v>
          </cell>
          <cell r="G177">
            <v>0</v>
          </cell>
          <cell r="H177">
            <v>0</v>
          </cell>
          <cell r="I177">
            <v>0</v>
          </cell>
          <cell r="J177">
            <v>0</v>
          </cell>
          <cell r="K177">
            <v>0</v>
          </cell>
          <cell r="L177">
            <v>0</v>
          </cell>
          <cell r="M177">
            <v>0</v>
          </cell>
          <cell r="N177">
            <v>0</v>
          </cell>
          <cell r="O177">
            <v>0</v>
          </cell>
          <cell r="P177">
            <v>1</v>
          </cell>
          <cell r="Q177">
            <v>0</v>
          </cell>
          <cell r="R177">
            <v>0</v>
          </cell>
          <cell r="S177">
            <v>0</v>
          </cell>
          <cell r="T177">
            <v>0</v>
          </cell>
          <cell r="U177">
            <v>0</v>
          </cell>
          <cell r="V177">
            <v>0</v>
          </cell>
          <cell r="W177">
            <v>0</v>
          </cell>
          <cell r="X177">
            <v>0</v>
          </cell>
          <cell r="Y177">
            <v>0</v>
          </cell>
          <cell r="Z177">
            <v>0</v>
          </cell>
          <cell r="AA177">
            <v>0</v>
          </cell>
          <cell r="AB177">
            <v>0</v>
          </cell>
          <cell r="AC177">
            <v>0</v>
          </cell>
          <cell r="AD177">
            <v>0</v>
          </cell>
          <cell r="AE177">
            <v>0</v>
          </cell>
          <cell r="AF177">
            <v>0</v>
          </cell>
          <cell r="AG177">
            <v>0</v>
          </cell>
          <cell r="AH177">
            <v>0</v>
          </cell>
          <cell r="AI177">
            <v>0</v>
          </cell>
          <cell r="AJ177">
            <v>0</v>
          </cell>
        </row>
        <row r="178">
          <cell r="B178" t="str">
            <v>p23</v>
          </cell>
          <cell r="G178">
            <v>0</v>
          </cell>
          <cell r="H178">
            <v>0</v>
          </cell>
          <cell r="I178">
            <v>0</v>
          </cell>
          <cell r="J178">
            <v>0</v>
          </cell>
          <cell r="K178">
            <v>0</v>
          </cell>
          <cell r="L178">
            <v>0</v>
          </cell>
          <cell r="M178">
            <v>0</v>
          </cell>
          <cell r="N178">
            <v>0</v>
          </cell>
          <cell r="O178">
            <v>0</v>
          </cell>
          <cell r="P178">
            <v>1</v>
          </cell>
          <cell r="Q178">
            <v>0</v>
          </cell>
          <cell r="R178">
            <v>0</v>
          </cell>
          <cell r="S178">
            <v>0</v>
          </cell>
          <cell r="T178">
            <v>0</v>
          </cell>
          <cell r="U178">
            <v>0</v>
          </cell>
          <cell r="V178">
            <v>0</v>
          </cell>
          <cell r="W178">
            <v>0</v>
          </cell>
          <cell r="X178">
            <v>0</v>
          </cell>
          <cell r="Y178">
            <v>0</v>
          </cell>
          <cell r="Z178">
            <v>0</v>
          </cell>
          <cell r="AA178">
            <v>0</v>
          </cell>
          <cell r="AB178">
            <v>0</v>
          </cell>
          <cell r="AC178">
            <v>0</v>
          </cell>
          <cell r="AD178">
            <v>0</v>
          </cell>
          <cell r="AE178">
            <v>0</v>
          </cell>
          <cell r="AF178">
            <v>0</v>
          </cell>
          <cell r="AG178">
            <v>0</v>
          </cell>
          <cell r="AH178">
            <v>0</v>
          </cell>
          <cell r="AI178">
            <v>0</v>
          </cell>
          <cell r="AJ178">
            <v>0</v>
          </cell>
        </row>
        <row r="179">
          <cell r="B179" t="str">
            <v>p24</v>
          </cell>
          <cell r="G179">
            <v>0</v>
          </cell>
          <cell r="H179">
            <v>0</v>
          </cell>
          <cell r="I179">
            <v>0</v>
          </cell>
          <cell r="J179">
            <v>0</v>
          </cell>
          <cell r="K179">
            <v>0</v>
          </cell>
          <cell r="L179">
            <v>0</v>
          </cell>
          <cell r="M179">
            <v>0</v>
          </cell>
          <cell r="N179">
            <v>0</v>
          </cell>
          <cell r="O179">
            <v>1</v>
          </cell>
          <cell r="P179">
            <v>0</v>
          </cell>
          <cell r="Q179">
            <v>0</v>
          </cell>
          <cell r="R179">
            <v>0</v>
          </cell>
          <cell r="S179">
            <v>0</v>
          </cell>
          <cell r="T179">
            <v>0</v>
          </cell>
          <cell r="U179">
            <v>0</v>
          </cell>
          <cell r="V179">
            <v>0</v>
          </cell>
          <cell r="W179">
            <v>0</v>
          </cell>
          <cell r="X179">
            <v>0</v>
          </cell>
          <cell r="Y179">
            <v>0</v>
          </cell>
          <cell r="Z179">
            <v>0</v>
          </cell>
          <cell r="AA179">
            <v>0</v>
          </cell>
          <cell r="AB179">
            <v>0</v>
          </cell>
          <cell r="AC179">
            <v>0</v>
          </cell>
          <cell r="AD179">
            <v>0</v>
          </cell>
          <cell r="AE179">
            <v>0</v>
          </cell>
          <cell r="AF179">
            <v>0</v>
          </cell>
          <cell r="AG179">
            <v>0</v>
          </cell>
          <cell r="AH179">
            <v>0</v>
          </cell>
          <cell r="AI179">
            <v>0</v>
          </cell>
          <cell r="AJ179">
            <v>0</v>
          </cell>
        </row>
        <row r="180">
          <cell r="B180" t="str">
            <v>p25</v>
          </cell>
          <cell r="G180">
            <v>0</v>
          </cell>
          <cell r="H180">
            <v>0</v>
          </cell>
          <cell r="I180">
            <v>0</v>
          </cell>
          <cell r="J180">
            <v>0</v>
          </cell>
          <cell r="K180">
            <v>0</v>
          </cell>
          <cell r="L180">
            <v>0</v>
          </cell>
          <cell r="M180">
            <v>0</v>
          </cell>
          <cell r="N180">
            <v>0</v>
          </cell>
          <cell r="O180">
            <v>1</v>
          </cell>
          <cell r="P180">
            <v>0</v>
          </cell>
          <cell r="Q180">
            <v>0</v>
          </cell>
          <cell r="R180">
            <v>0</v>
          </cell>
          <cell r="S180">
            <v>0</v>
          </cell>
          <cell r="T180">
            <v>0</v>
          </cell>
          <cell r="U180">
            <v>0</v>
          </cell>
          <cell r="V180">
            <v>0</v>
          </cell>
          <cell r="W180">
            <v>0</v>
          </cell>
          <cell r="X180">
            <v>0</v>
          </cell>
          <cell r="Y180">
            <v>0</v>
          </cell>
          <cell r="Z180">
            <v>0</v>
          </cell>
          <cell r="AA180">
            <v>0</v>
          </cell>
          <cell r="AB180">
            <v>0</v>
          </cell>
          <cell r="AC180">
            <v>0</v>
          </cell>
          <cell r="AD180">
            <v>0</v>
          </cell>
          <cell r="AE180">
            <v>0</v>
          </cell>
          <cell r="AF180">
            <v>0</v>
          </cell>
          <cell r="AG180">
            <v>0</v>
          </cell>
          <cell r="AH180">
            <v>0</v>
          </cell>
          <cell r="AI180">
            <v>0</v>
          </cell>
          <cell r="AJ180">
            <v>0</v>
          </cell>
        </row>
        <row r="181">
          <cell r="B181" t="str">
            <v>p26</v>
          </cell>
          <cell r="G181">
            <v>0</v>
          </cell>
          <cell r="H181">
            <v>0</v>
          </cell>
          <cell r="I181">
            <v>0</v>
          </cell>
          <cell r="J181">
            <v>0</v>
          </cell>
          <cell r="K181">
            <v>0</v>
          </cell>
          <cell r="L181">
            <v>0</v>
          </cell>
          <cell r="M181">
            <v>0</v>
          </cell>
          <cell r="N181">
            <v>0</v>
          </cell>
          <cell r="O181">
            <v>1</v>
          </cell>
          <cell r="P181">
            <v>0</v>
          </cell>
          <cell r="Q181">
            <v>0</v>
          </cell>
          <cell r="R181">
            <v>0</v>
          </cell>
          <cell r="S181">
            <v>0</v>
          </cell>
          <cell r="T181">
            <v>0</v>
          </cell>
          <cell r="U181">
            <v>0</v>
          </cell>
          <cell r="V181">
            <v>0</v>
          </cell>
          <cell r="W181">
            <v>0</v>
          </cell>
          <cell r="X181">
            <v>0</v>
          </cell>
          <cell r="Y181">
            <v>0</v>
          </cell>
          <cell r="Z181">
            <v>0</v>
          </cell>
          <cell r="AA181">
            <v>0</v>
          </cell>
          <cell r="AB181">
            <v>0</v>
          </cell>
          <cell r="AC181">
            <v>0</v>
          </cell>
          <cell r="AD181">
            <v>0</v>
          </cell>
          <cell r="AE181">
            <v>0</v>
          </cell>
          <cell r="AF181">
            <v>0</v>
          </cell>
          <cell r="AG181">
            <v>0</v>
          </cell>
          <cell r="AH181">
            <v>0</v>
          </cell>
          <cell r="AI181">
            <v>0</v>
          </cell>
          <cell r="AJ181">
            <v>0</v>
          </cell>
        </row>
        <row r="182">
          <cell r="B182" t="str">
            <v>p27</v>
          </cell>
          <cell r="G182">
            <v>0</v>
          </cell>
          <cell r="H182">
            <v>0</v>
          </cell>
          <cell r="I182">
            <v>0</v>
          </cell>
          <cell r="J182">
            <v>0</v>
          </cell>
          <cell r="K182">
            <v>0</v>
          </cell>
          <cell r="L182">
            <v>0</v>
          </cell>
          <cell r="M182">
            <v>0</v>
          </cell>
          <cell r="N182">
            <v>0</v>
          </cell>
          <cell r="O182">
            <v>0</v>
          </cell>
          <cell r="P182">
            <v>1</v>
          </cell>
          <cell r="Q182">
            <v>0</v>
          </cell>
          <cell r="R182">
            <v>0</v>
          </cell>
          <cell r="S182">
            <v>0</v>
          </cell>
          <cell r="T182">
            <v>0</v>
          </cell>
          <cell r="U182">
            <v>0</v>
          </cell>
          <cell r="V182">
            <v>0</v>
          </cell>
          <cell r="W182">
            <v>0</v>
          </cell>
          <cell r="X182">
            <v>0</v>
          </cell>
          <cell r="Y182">
            <v>0</v>
          </cell>
          <cell r="Z182">
            <v>0</v>
          </cell>
          <cell r="AA182">
            <v>0</v>
          </cell>
          <cell r="AB182">
            <v>0</v>
          </cell>
          <cell r="AC182">
            <v>0</v>
          </cell>
          <cell r="AD182">
            <v>0</v>
          </cell>
          <cell r="AE182">
            <v>0</v>
          </cell>
          <cell r="AF182">
            <v>0</v>
          </cell>
          <cell r="AG182">
            <v>0</v>
          </cell>
          <cell r="AH182">
            <v>0</v>
          </cell>
          <cell r="AI182">
            <v>0</v>
          </cell>
          <cell r="AJ182">
            <v>0</v>
          </cell>
        </row>
        <row r="183">
          <cell r="B183" t="str">
            <v>p28</v>
          </cell>
          <cell r="G183">
            <v>0</v>
          </cell>
          <cell r="H183">
            <v>0</v>
          </cell>
          <cell r="I183">
            <v>0</v>
          </cell>
          <cell r="J183">
            <v>0</v>
          </cell>
          <cell r="K183">
            <v>0</v>
          </cell>
          <cell r="L183">
            <v>0</v>
          </cell>
          <cell r="M183">
            <v>0</v>
          </cell>
          <cell r="N183">
            <v>0</v>
          </cell>
          <cell r="O183">
            <v>0</v>
          </cell>
          <cell r="P183">
            <v>1</v>
          </cell>
          <cell r="Q183">
            <v>0</v>
          </cell>
          <cell r="R183">
            <v>0</v>
          </cell>
          <cell r="S183">
            <v>0</v>
          </cell>
          <cell r="T183">
            <v>0</v>
          </cell>
          <cell r="U183">
            <v>0</v>
          </cell>
          <cell r="V183">
            <v>0</v>
          </cell>
          <cell r="W183">
            <v>0</v>
          </cell>
          <cell r="X183">
            <v>0</v>
          </cell>
          <cell r="Y183">
            <v>0</v>
          </cell>
          <cell r="Z183">
            <v>0</v>
          </cell>
          <cell r="AA183">
            <v>0</v>
          </cell>
          <cell r="AB183">
            <v>0</v>
          </cell>
          <cell r="AC183">
            <v>0</v>
          </cell>
          <cell r="AD183">
            <v>0</v>
          </cell>
          <cell r="AE183">
            <v>0</v>
          </cell>
          <cell r="AF183">
            <v>0</v>
          </cell>
          <cell r="AG183">
            <v>0</v>
          </cell>
          <cell r="AH183">
            <v>0</v>
          </cell>
          <cell r="AI183">
            <v>0</v>
          </cell>
          <cell r="AJ183">
            <v>0</v>
          </cell>
        </row>
        <row r="184">
          <cell r="B184" t="str">
            <v>p29</v>
          </cell>
          <cell r="G184">
            <v>0</v>
          </cell>
          <cell r="H184">
            <v>0</v>
          </cell>
          <cell r="I184">
            <v>0</v>
          </cell>
          <cell r="J184">
            <v>0</v>
          </cell>
          <cell r="K184">
            <v>0</v>
          </cell>
          <cell r="L184">
            <v>0</v>
          </cell>
          <cell r="M184">
            <v>0</v>
          </cell>
          <cell r="N184">
            <v>0</v>
          </cell>
          <cell r="O184">
            <v>0</v>
          </cell>
          <cell r="P184">
            <v>1</v>
          </cell>
          <cell r="Q184">
            <v>0</v>
          </cell>
          <cell r="R184">
            <v>0</v>
          </cell>
          <cell r="S184">
            <v>0</v>
          </cell>
          <cell r="T184">
            <v>0</v>
          </cell>
          <cell r="U184">
            <v>0</v>
          </cell>
          <cell r="V184">
            <v>0</v>
          </cell>
          <cell r="W184">
            <v>0</v>
          </cell>
          <cell r="X184">
            <v>0</v>
          </cell>
          <cell r="Y184">
            <v>0</v>
          </cell>
          <cell r="Z184">
            <v>0</v>
          </cell>
          <cell r="AA184">
            <v>0</v>
          </cell>
          <cell r="AB184">
            <v>0</v>
          </cell>
          <cell r="AC184">
            <v>0</v>
          </cell>
          <cell r="AD184">
            <v>0</v>
          </cell>
          <cell r="AE184">
            <v>0</v>
          </cell>
          <cell r="AF184">
            <v>0</v>
          </cell>
          <cell r="AG184">
            <v>0</v>
          </cell>
          <cell r="AH184">
            <v>0</v>
          </cell>
          <cell r="AI184">
            <v>0</v>
          </cell>
          <cell r="AJ184">
            <v>0</v>
          </cell>
        </row>
        <row r="185">
          <cell r="B185" t="str">
            <v>p30</v>
          </cell>
          <cell r="G185">
            <v>0</v>
          </cell>
          <cell r="H185">
            <v>0</v>
          </cell>
          <cell r="I185">
            <v>0</v>
          </cell>
          <cell r="J185">
            <v>0</v>
          </cell>
          <cell r="K185">
            <v>0</v>
          </cell>
          <cell r="L185">
            <v>0</v>
          </cell>
          <cell r="M185">
            <v>0.5</v>
          </cell>
          <cell r="N185">
            <v>0.5</v>
          </cell>
          <cell r="O185">
            <v>0</v>
          </cell>
          <cell r="P185">
            <v>0</v>
          </cell>
          <cell r="Q185">
            <v>0</v>
          </cell>
          <cell r="R185">
            <v>0</v>
          </cell>
          <cell r="S185">
            <v>0</v>
          </cell>
          <cell r="T185">
            <v>0</v>
          </cell>
          <cell r="U185">
            <v>0</v>
          </cell>
          <cell r="V185">
            <v>0</v>
          </cell>
          <cell r="W185">
            <v>0</v>
          </cell>
          <cell r="X185">
            <v>0</v>
          </cell>
          <cell r="Y185">
            <v>0</v>
          </cell>
          <cell r="Z185">
            <v>0</v>
          </cell>
          <cell r="AA185">
            <v>0</v>
          </cell>
          <cell r="AB185">
            <v>0</v>
          </cell>
          <cell r="AC185">
            <v>0</v>
          </cell>
          <cell r="AD185">
            <v>0</v>
          </cell>
          <cell r="AE185">
            <v>0</v>
          </cell>
          <cell r="AF185">
            <v>0</v>
          </cell>
          <cell r="AG185">
            <v>0</v>
          </cell>
          <cell r="AH185">
            <v>0</v>
          </cell>
          <cell r="AI185">
            <v>0</v>
          </cell>
          <cell r="AJ185">
            <v>0</v>
          </cell>
        </row>
        <row r="186">
          <cell r="B186" t="str">
            <v>p31</v>
          </cell>
          <cell r="G186">
            <v>0</v>
          </cell>
          <cell r="H186">
            <v>0</v>
          </cell>
          <cell r="I186">
            <v>0</v>
          </cell>
          <cell r="J186">
            <v>0</v>
          </cell>
          <cell r="K186">
            <v>0</v>
          </cell>
          <cell r="L186">
            <v>0</v>
          </cell>
          <cell r="M186">
            <v>0.5</v>
          </cell>
          <cell r="N186">
            <v>0.5</v>
          </cell>
          <cell r="O186">
            <v>0</v>
          </cell>
          <cell r="P186">
            <v>0</v>
          </cell>
          <cell r="Q186">
            <v>0</v>
          </cell>
          <cell r="R186">
            <v>0</v>
          </cell>
          <cell r="S186">
            <v>0</v>
          </cell>
          <cell r="T186">
            <v>0</v>
          </cell>
          <cell r="U186">
            <v>0</v>
          </cell>
          <cell r="V186">
            <v>0</v>
          </cell>
          <cell r="W186">
            <v>0</v>
          </cell>
          <cell r="X186">
            <v>0</v>
          </cell>
          <cell r="Y186">
            <v>0</v>
          </cell>
          <cell r="Z186">
            <v>0</v>
          </cell>
          <cell r="AA186">
            <v>0</v>
          </cell>
          <cell r="AB186">
            <v>0</v>
          </cell>
          <cell r="AC186">
            <v>0</v>
          </cell>
          <cell r="AD186">
            <v>0</v>
          </cell>
          <cell r="AE186">
            <v>0</v>
          </cell>
          <cell r="AF186">
            <v>0</v>
          </cell>
          <cell r="AG186">
            <v>0</v>
          </cell>
          <cell r="AH186">
            <v>0</v>
          </cell>
          <cell r="AI186">
            <v>0</v>
          </cell>
          <cell r="AJ186">
            <v>0</v>
          </cell>
        </row>
        <row r="187">
          <cell r="B187" t="str">
            <v>p32</v>
          </cell>
          <cell r="G187">
            <v>0</v>
          </cell>
          <cell r="H187">
            <v>0</v>
          </cell>
          <cell r="I187">
            <v>0</v>
          </cell>
          <cell r="J187">
            <v>0</v>
          </cell>
          <cell r="K187">
            <v>0</v>
          </cell>
          <cell r="L187">
            <v>0</v>
          </cell>
          <cell r="M187">
            <v>0</v>
          </cell>
          <cell r="N187">
            <v>0</v>
          </cell>
          <cell r="O187">
            <v>1</v>
          </cell>
          <cell r="P187">
            <v>0</v>
          </cell>
          <cell r="Q187">
            <v>0</v>
          </cell>
          <cell r="R187">
            <v>0</v>
          </cell>
          <cell r="S187">
            <v>0</v>
          </cell>
          <cell r="T187">
            <v>0</v>
          </cell>
          <cell r="U187">
            <v>0</v>
          </cell>
          <cell r="V187">
            <v>0</v>
          </cell>
          <cell r="W187">
            <v>0</v>
          </cell>
          <cell r="X187">
            <v>0</v>
          </cell>
          <cell r="Y187">
            <v>0</v>
          </cell>
          <cell r="Z187">
            <v>0</v>
          </cell>
          <cell r="AA187">
            <v>0</v>
          </cell>
          <cell r="AB187">
            <v>0</v>
          </cell>
          <cell r="AC187">
            <v>0</v>
          </cell>
          <cell r="AD187">
            <v>0</v>
          </cell>
          <cell r="AE187">
            <v>0</v>
          </cell>
          <cell r="AF187">
            <v>0</v>
          </cell>
          <cell r="AG187">
            <v>0</v>
          </cell>
          <cell r="AH187">
            <v>0</v>
          </cell>
          <cell r="AI187">
            <v>0</v>
          </cell>
          <cell r="AJ187">
            <v>0</v>
          </cell>
        </row>
        <row r="188">
          <cell r="B188" t="str">
            <v>p33</v>
          </cell>
          <cell r="G188">
            <v>0</v>
          </cell>
          <cell r="H188">
            <v>0</v>
          </cell>
          <cell r="I188">
            <v>0</v>
          </cell>
          <cell r="J188">
            <v>0</v>
          </cell>
          <cell r="K188">
            <v>0</v>
          </cell>
          <cell r="L188">
            <v>0</v>
          </cell>
          <cell r="M188">
            <v>0</v>
          </cell>
          <cell r="N188">
            <v>0</v>
          </cell>
          <cell r="O188">
            <v>0</v>
          </cell>
          <cell r="P188">
            <v>1</v>
          </cell>
          <cell r="Q188">
            <v>0</v>
          </cell>
          <cell r="R188">
            <v>0</v>
          </cell>
          <cell r="S188">
            <v>0</v>
          </cell>
          <cell r="T188">
            <v>0</v>
          </cell>
          <cell r="U188">
            <v>0</v>
          </cell>
          <cell r="V188">
            <v>0</v>
          </cell>
          <cell r="W188">
            <v>0</v>
          </cell>
          <cell r="X188">
            <v>0</v>
          </cell>
          <cell r="Y188">
            <v>0</v>
          </cell>
          <cell r="Z188">
            <v>0</v>
          </cell>
          <cell r="AA188">
            <v>0</v>
          </cell>
          <cell r="AB188">
            <v>0</v>
          </cell>
          <cell r="AC188">
            <v>0</v>
          </cell>
          <cell r="AD188">
            <v>0</v>
          </cell>
          <cell r="AE188">
            <v>0</v>
          </cell>
          <cell r="AF188">
            <v>0</v>
          </cell>
          <cell r="AG188">
            <v>0</v>
          </cell>
          <cell r="AH188">
            <v>0</v>
          </cell>
          <cell r="AI188">
            <v>0</v>
          </cell>
          <cell r="AJ188">
            <v>0</v>
          </cell>
        </row>
        <row r="189">
          <cell r="B189" t="str">
            <v>p34</v>
          </cell>
          <cell r="G189">
            <v>0</v>
          </cell>
          <cell r="H189">
            <v>0</v>
          </cell>
          <cell r="I189">
            <v>0</v>
          </cell>
          <cell r="J189">
            <v>0</v>
          </cell>
          <cell r="K189">
            <v>0</v>
          </cell>
          <cell r="L189">
            <v>0</v>
          </cell>
          <cell r="M189">
            <v>0</v>
          </cell>
          <cell r="N189">
            <v>0.5</v>
          </cell>
          <cell r="O189">
            <v>0.5</v>
          </cell>
          <cell r="P189">
            <v>0</v>
          </cell>
          <cell r="Q189">
            <v>0</v>
          </cell>
          <cell r="R189">
            <v>0</v>
          </cell>
          <cell r="S189">
            <v>0</v>
          </cell>
          <cell r="T189">
            <v>0</v>
          </cell>
          <cell r="U189">
            <v>0</v>
          </cell>
          <cell r="V189">
            <v>0</v>
          </cell>
          <cell r="W189">
            <v>0</v>
          </cell>
          <cell r="X189">
            <v>0</v>
          </cell>
          <cell r="Y189">
            <v>0</v>
          </cell>
          <cell r="Z189">
            <v>0</v>
          </cell>
          <cell r="AA189">
            <v>0</v>
          </cell>
          <cell r="AB189">
            <v>0</v>
          </cell>
          <cell r="AC189">
            <v>0</v>
          </cell>
          <cell r="AD189">
            <v>0</v>
          </cell>
          <cell r="AE189">
            <v>0</v>
          </cell>
          <cell r="AF189">
            <v>0</v>
          </cell>
          <cell r="AG189">
            <v>0</v>
          </cell>
          <cell r="AH189">
            <v>0</v>
          </cell>
          <cell r="AI189">
            <v>0</v>
          </cell>
          <cell r="AJ189">
            <v>0</v>
          </cell>
        </row>
        <row r="190">
          <cell r="B190" t="str">
            <v>p35</v>
          </cell>
          <cell r="G190">
            <v>0</v>
          </cell>
          <cell r="H190">
            <v>0</v>
          </cell>
          <cell r="I190">
            <v>0</v>
          </cell>
          <cell r="J190">
            <v>1</v>
          </cell>
          <cell r="K190">
            <v>0</v>
          </cell>
          <cell r="L190">
            <v>0</v>
          </cell>
          <cell r="M190">
            <v>0</v>
          </cell>
          <cell r="N190">
            <v>0</v>
          </cell>
          <cell r="O190">
            <v>0</v>
          </cell>
          <cell r="P190">
            <v>0</v>
          </cell>
          <cell r="Q190">
            <v>0</v>
          </cell>
          <cell r="R190">
            <v>0</v>
          </cell>
          <cell r="S190">
            <v>0</v>
          </cell>
          <cell r="T190">
            <v>0</v>
          </cell>
          <cell r="U190">
            <v>0</v>
          </cell>
          <cell r="V190">
            <v>0</v>
          </cell>
          <cell r="W190">
            <v>0</v>
          </cell>
          <cell r="X190">
            <v>0</v>
          </cell>
          <cell r="Y190">
            <v>0</v>
          </cell>
          <cell r="Z190">
            <v>0</v>
          </cell>
          <cell r="AA190">
            <v>0</v>
          </cell>
          <cell r="AB190">
            <v>0</v>
          </cell>
          <cell r="AC190">
            <v>0</v>
          </cell>
          <cell r="AD190">
            <v>0</v>
          </cell>
          <cell r="AE190">
            <v>0</v>
          </cell>
          <cell r="AF190">
            <v>0</v>
          </cell>
          <cell r="AG190">
            <v>0</v>
          </cell>
          <cell r="AH190">
            <v>0</v>
          </cell>
          <cell r="AI190">
            <v>0</v>
          </cell>
          <cell r="AJ190">
            <v>0</v>
          </cell>
        </row>
        <row r="191">
          <cell r="B191" t="str">
            <v>p36</v>
          </cell>
          <cell r="G191">
            <v>0</v>
          </cell>
          <cell r="H191">
            <v>0</v>
          </cell>
          <cell r="I191">
            <v>0</v>
          </cell>
          <cell r="J191">
            <v>1</v>
          </cell>
          <cell r="K191">
            <v>0</v>
          </cell>
          <cell r="L191">
            <v>0</v>
          </cell>
          <cell r="M191">
            <v>0</v>
          </cell>
          <cell r="N191">
            <v>0</v>
          </cell>
          <cell r="O191">
            <v>0</v>
          </cell>
          <cell r="P191">
            <v>0</v>
          </cell>
          <cell r="Q191">
            <v>0</v>
          </cell>
          <cell r="R191">
            <v>0</v>
          </cell>
          <cell r="S191">
            <v>0</v>
          </cell>
          <cell r="T191">
            <v>0</v>
          </cell>
          <cell r="U191">
            <v>0</v>
          </cell>
          <cell r="V191">
            <v>0</v>
          </cell>
          <cell r="W191">
            <v>0</v>
          </cell>
          <cell r="X191">
            <v>0</v>
          </cell>
          <cell r="Y191">
            <v>0</v>
          </cell>
          <cell r="Z191">
            <v>0</v>
          </cell>
          <cell r="AA191">
            <v>0</v>
          </cell>
          <cell r="AB191">
            <v>0</v>
          </cell>
          <cell r="AC191">
            <v>0</v>
          </cell>
          <cell r="AD191">
            <v>0</v>
          </cell>
          <cell r="AE191">
            <v>0</v>
          </cell>
          <cell r="AF191">
            <v>0</v>
          </cell>
          <cell r="AG191">
            <v>0</v>
          </cell>
          <cell r="AH191">
            <v>0</v>
          </cell>
          <cell r="AI191">
            <v>0</v>
          </cell>
          <cell r="AJ191">
            <v>0</v>
          </cell>
        </row>
        <row r="192">
          <cell r="B192" t="str">
            <v>p37</v>
          </cell>
          <cell r="G192">
            <v>0</v>
          </cell>
          <cell r="H192">
            <v>0</v>
          </cell>
          <cell r="I192">
            <v>0</v>
          </cell>
          <cell r="J192">
            <v>0</v>
          </cell>
          <cell r="K192">
            <v>0.5</v>
          </cell>
          <cell r="L192">
            <v>0.5</v>
          </cell>
          <cell r="M192">
            <v>0</v>
          </cell>
          <cell r="N192">
            <v>0</v>
          </cell>
          <cell r="O192">
            <v>0</v>
          </cell>
          <cell r="P192">
            <v>0</v>
          </cell>
          <cell r="Q192">
            <v>0</v>
          </cell>
          <cell r="R192">
            <v>0</v>
          </cell>
          <cell r="S192">
            <v>0</v>
          </cell>
          <cell r="T192">
            <v>0</v>
          </cell>
          <cell r="U192">
            <v>0</v>
          </cell>
          <cell r="V192">
            <v>0</v>
          </cell>
          <cell r="W192">
            <v>0</v>
          </cell>
          <cell r="X192">
            <v>0</v>
          </cell>
          <cell r="Y192">
            <v>0</v>
          </cell>
          <cell r="Z192">
            <v>0</v>
          </cell>
          <cell r="AA192">
            <v>0</v>
          </cell>
          <cell r="AB192">
            <v>0</v>
          </cell>
          <cell r="AC192">
            <v>0</v>
          </cell>
          <cell r="AD192">
            <v>0</v>
          </cell>
          <cell r="AE192">
            <v>0</v>
          </cell>
          <cell r="AF192">
            <v>0</v>
          </cell>
          <cell r="AG192">
            <v>0</v>
          </cell>
          <cell r="AH192">
            <v>0</v>
          </cell>
          <cell r="AI192">
            <v>0</v>
          </cell>
          <cell r="AJ192">
            <v>0</v>
          </cell>
        </row>
        <row r="193">
          <cell r="B193" t="str">
            <v>p38</v>
          </cell>
          <cell r="G193">
            <v>0</v>
          </cell>
          <cell r="H193">
            <v>0</v>
          </cell>
          <cell r="I193">
            <v>0</v>
          </cell>
          <cell r="J193">
            <v>0</v>
          </cell>
          <cell r="K193">
            <v>0</v>
          </cell>
          <cell r="L193">
            <v>1</v>
          </cell>
          <cell r="M193">
            <v>0</v>
          </cell>
          <cell r="N193">
            <v>0</v>
          </cell>
          <cell r="O193">
            <v>0</v>
          </cell>
          <cell r="P193">
            <v>0</v>
          </cell>
          <cell r="Q193">
            <v>0</v>
          </cell>
          <cell r="R193">
            <v>0</v>
          </cell>
          <cell r="S193">
            <v>0</v>
          </cell>
          <cell r="T193">
            <v>0</v>
          </cell>
          <cell r="U193">
            <v>0</v>
          </cell>
          <cell r="V193">
            <v>0</v>
          </cell>
          <cell r="W193">
            <v>0</v>
          </cell>
          <cell r="X193">
            <v>0</v>
          </cell>
          <cell r="Y193">
            <v>0</v>
          </cell>
          <cell r="Z193">
            <v>0</v>
          </cell>
          <cell r="AA193">
            <v>0</v>
          </cell>
          <cell r="AB193">
            <v>0</v>
          </cell>
          <cell r="AC193">
            <v>0</v>
          </cell>
          <cell r="AD193">
            <v>0</v>
          </cell>
          <cell r="AE193">
            <v>0</v>
          </cell>
          <cell r="AF193">
            <v>0</v>
          </cell>
          <cell r="AG193">
            <v>0</v>
          </cell>
          <cell r="AH193">
            <v>0</v>
          </cell>
          <cell r="AI193">
            <v>0</v>
          </cell>
          <cell r="AJ193">
            <v>0</v>
          </cell>
        </row>
        <row r="194">
          <cell r="B194" t="str">
            <v>p39</v>
          </cell>
          <cell r="G194">
            <v>0</v>
          </cell>
          <cell r="H194">
            <v>0</v>
          </cell>
          <cell r="I194">
            <v>0</v>
          </cell>
          <cell r="J194">
            <v>0</v>
          </cell>
          <cell r="K194">
            <v>0</v>
          </cell>
          <cell r="L194">
            <v>0</v>
          </cell>
          <cell r="M194">
            <v>0.5</v>
          </cell>
          <cell r="N194">
            <v>0.5</v>
          </cell>
          <cell r="O194">
            <v>0</v>
          </cell>
          <cell r="P194">
            <v>0</v>
          </cell>
          <cell r="Q194">
            <v>0</v>
          </cell>
          <cell r="R194">
            <v>0</v>
          </cell>
          <cell r="S194">
            <v>0</v>
          </cell>
          <cell r="T194">
            <v>0</v>
          </cell>
          <cell r="U194">
            <v>0</v>
          </cell>
          <cell r="V194">
            <v>0</v>
          </cell>
          <cell r="W194">
            <v>0</v>
          </cell>
          <cell r="X194">
            <v>0</v>
          </cell>
          <cell r="Y194">
            <v>0</v>
          </cell>
          <cell r="Z194">
            <v>0</v>
          </cell>
          <cell r="AA194">
            <v>0</v>
          </cell>
          <cell r="AB194">
            <v>0</v>
          </cell>
          <cell r="AC194">
            <v>0</v>
          </cell>
          <cell r="AD194">
            <v>0</v>
          </cell>
          <cell r="AE194">
            <v>0</v>
          </cell>
          <cell r="AF194">
            <v>0</v>
          </cell>
          <cell r="AG194">
            <v>0</v>
          </cell>
          <cell r="AH194">
            <v>0</v>
          </cell>
          <cell r="AI194">
            <v>0</v>
          </cell>
          <cell r="AJ194">
            <v>0</v>
          </cell>
        </row>
        <row r="195">
          <cell r="B195" t="str">
            <v>p40</v>
          </cell>
          <cell r="G195">
            <v>0</v>
          </cell>
          <cell r="H195">
            <v>0</v>
          </cell>
          <cell r="I195">
            <v>0.5</v>
          </cell>
          <cell r="J195">
            <v>0.5</v>
          </cell>
          <cell r="K195">
            <v>0</v>
          </cell>
          <cell r="L195">
            <v>0</v>
          </cell>
          <cell r="M195">
            <v>0</v>
          </cell>
          <cell r="N195">
            <v>0</v>
          </cell>
          <cell r="O195">
            <v>0</v>
          </cell>
          <cell r="P195">
            <v>0</v>
          </cell>
          <cell r="Q195">
            <v>0</v>
          </cell>
          <cell r="R195">
            <v>0</v>
          </cell>
          <cell r="S195">
            <v>0</v>
          </cell>
          <cell r="T195">
            <v>0</v>
          </cell>
          <cell r="U195">
            <v>0</v>
          </cell>
          <cell r="V195">
            <v>0</v>
          </cell>
          <cell r="W195">
            <v>0</v>
          </cell>
          <cell r="X195">
            <v>0</v>
          </cell>
          <cell r="Y195">
            <v>0</v>
          </cell>
          <cell r="Z195">
            <v>0</v>
          </cell>
          <cell r="AA195">
            <v>0</v>
          </cell>
          <cell r="AB195">
            <v>0</v>
          </cell>
          <cell r="AC195">
            <v>0</v>
          </cell>
          <cell r="AD195">
            <v>0</v>
          </cell>
          <cell r="AE195">
            <v>0</v>
          </cell>
          <cell r="AF195">
            <v>0</v>
          </cell>
          <cell r="AG195">
            <v>0</v>
          </cell>
          <cell r="AH195">
            <v>0</v>
          </cell>
          <cell r="AI195">
            <v>0</v>
          </cell>
          <cell r="AJ195">
            <v>0</v>
          </cell>
        </row>
        <row r="196">
          <cell r="B196" t="str">
            <v>p41</v>
          </cell>
          <cell r="G196">
            <v>0</v>
          </cell>
          <cell r="H196">
            <v>0</v>
          </cell>
          <cell r="I196">
            <v>1</v>
          </cell>
          <cell r="J196">
            <v>0</v>
          </cell>
          <cell r="K196">
            <v>0</v>
          </cell>
          <cell r="L196">
            <v>0</v>
          </cell>
          <cell r="M196">
            <v>0</v>
          </cell>
          <cell r="N196">
            <v>0</v>
          </cell>
          <cell r="O196">
            <v>0</v>
          </cell>
          <cell r="P196">
            <v>0</v>
          </cell>
          <cell r="Q196">
            <v>0</v>
          </cell>
          <cell r="R196">
            <v>0</v>
          </cell>
          <cell r="S196">
            <v>0</v>
          </cell>
          <cell r="T196">
            <v>0</v>
          </cell>
          <cell r="U196">
            <v>0</v>
          </cell>
          <cell r="V196">
            <v>0</v>
          </cell>
          <cell r="W196">
            <v>0</v>
          </cell>
          <cell r="X196">
            <v>0</v>
          </cell>
          <cell r="Y196">
            <v>0</v>
          </cell>
          <cell r="Z196">
            <v>0</v>
          </cell>
          <cell r="AA196">
            <v>0</v>
          </cell>
          <cell r="AB196">
            <v>0</v>
          </cell>
          <cell r="AC196">
            <v>0</v>
          </cell>
          <cell r="AD196">
            <v>0</v>
          </cell>
          <cell r="AE196">
            <v>0</v>
          </cell>
          <cell r="AF196">
            <v>0</v>
          </cell>
          <cell r="AG196">
            <v>0</v>
          </cell>
          <cell r="AH196">
            <v>0</v>
          </cell>
          <cell r="AI196">
            <v>0</v>
          </cell>
          <cell r="AJ196">
            <v>0</v>
          </cell>
        </row>
        <row r="197">
          <cell r="B197" t="str">
            <v>p42</v>
          </cell>
          <cell r="G197">
            <v>0</v>
          </cell>
          <cell r="H197">
            <v>0</v>
          </cell>
          <cell r="I197">
            <v>0</v>
          </cell>
          <cell r="J197">
            <v>0</v>
          </cell>
          <cell r="K197">
            <v>1</v>
          </cell>
          <cell r="L197">
            <v>0</v>
          </cell>
          <cell r="M197">
            <v>0</v>
          </cell>
          <cell r="N197">
            <v>0</v>
          </cell>
          <cell r="O197">
            <v>0</v>
          </cell>
          <cell r="P197">
            <v>0</v>
          </cell>
          <cell r="Q197">
            <v>0</v>
          </cell>
          <cell r="R197">
            <v>0</v>
          </cell>
          <cell r="S197">
            <v>0</v>
          </cell>
          <cell r="T197">
            <v>0</v>
          </cell>
          <cell r="U197">
            <v>0</v>
          </cell>
          <cell r="V197">
            <v>0</v>
          </cell>
          <cell r="W197">
            <v>0</v>
          </cell>
          <cell r="X197">
            <v>0</v>
          </cell>
          <cell r="Y197">
            <v>0</v>
          </cell>
          <cell r="Z197">
            <v>0</v>
          </cell>
          <cell r="AA197">
            <v>0</v>
          </cell>
          <cell r="AB197">
            <v>0</v>
          </cell>
          <cell r="AC197">
            <v>0</v>
          </cell>
          <cell r="AD197">
            <v>0</v>
          </cell>
          <cell r="AE197">
            <v>0</v>
          </cell>
          <cell r="AF197">
            <v>0</v>
          </cell>
          <cell r="AG197">
            <v>0</v>
          </cell>
          <cell r="AH197">
            <v>0</v>
          </cell>
          <cell r="AI197">
            <v>0</v>
          </cell>
          <cell r="AJ197">
            <v>0</v>
          </cell>
        </row>
        <row r="198">
          <cell r="B198" t="str">
            <v>p43</v>
          </cell>
          <cell r="G198">
            <v>0</v>
          </cell>
          <cell r="H198">
            <v>0</v>
          </cell>
          <cell r="I198">
            <v>0</v>
          </cell>
          <cell r="J198">
            <v>1</v>
          </cell>
          <cell r="K198">
            <v>0</v>
          </cell>
          <cell r="L198">
            <v>0</v>
          </cell>
          <cell r="M198">
            <v>0</v>
          </cell>
          <cell r="N198">
            <v>0</v>
          </cell>
          <cell r="O198">
            <v>0</v>
          </cell>
          <cell r="P198">
            <v>0</v>
          </cell>
          <cell r="Q198">
            <v>0</v>
          </cell>
          <cell r="R198">
            <v>0</v>
          </cell>
          <cell r="S198">
            <v>0</v>
          </cell>
          <cell r="T198">
            <v>0</v>
          </cell>
          <cell r="U198">
            <v>0</v>
          </cell>
          <cell r="V198">
            <v>0</v>
          </cell>
          <cell r="W198">
            <v>0</v>
          </cell>
          <cell r="X198">
            <v>0</v>
          </cell>
          <cell r="Y198">
            <v>0</v>
          </cell>
          <cell r="Z198">
            <v>0</v>
          </cell>
          <cell r="AA198">
            <v>0</v>
          </cell>
          <cell r="AB198">
            <v>0</v>
          </cell>
          <cell r="AC198">
            <v>0</v>
          </cell>
          <cell r="AD198">
            <v>0</v>
          </cell>
          <cell r="AE198">
            <v>0</v>
          </cell>
          <cell r="AF198">
            <v>0</v>
          </cell>
          <cell r="AG198">
            <v>0</v>
          </cell>
          <cell r="AH198">
            <v>0</v>
          </cell>
          <cell r="AI198">
            <v>0</v>
          </cell>
          <cell r="AJ198">
            <v>0</v>
          </cell>
        </row>
        <row r="199">
          <cell r="B199" t="str">
            <v>p44</v>
          </cell>
          <cell r="G199">
            <v>0</v>
          </cell>
          <cell r="H199">
            <v>0</v>
          </cell>
          <cell r="I199">
            <v>0</v>
          </cell>
          <cell r="J199">
            <v>0.5</v>
          </cell>
          <cell r="K199">
            <v>0.5</v>
          </cell>
          <cell r="L199">
            <v>0</v>
          </cell>
          <cell r="M199">
            <v>0</v>
          </cell>
          <cell r="N199">
            <v>0</v>
          </cell>
          <cell r="O199">
            <v>0</v>
          </cell>
          <cell r="P199">
            <v>0</v>
          </cell>
          <cell r="Q199">
            <v>0</v>
          </cell>
          <cell r="R199">
            <v>0</v>
          </cell>
          <cell r="S199">
            <v>0</v>
          </cell>
          <cell r="T199">
            <v>0</v>
          </cell>
          <cell r="U199">
            <v>0</v>
          </cell>
          <cell r="V199">
            <v>0</v>
          </cell>
          <cell r="W199">
            <v>0</v>
          </cell>
          <cell r="X199">
            <v>0</v>
          </cell>
          <cell r="Y199">
            <v>0</v>
          </cell>
          <cell r="Z199">
            <v>0</v>
          </cell>
          <cell r="AA199">
            <v>0</v>
          </cell>
          <cell r="AB199">
            <v>0</v>
          </cell>
          <cell r="AC199">
            <v>0</v>
          </cell>
          <cell r="AD199">
            <v>0</v>
          </cell>
          <cell r="AE199">
            <v>0</v>
          </cell>
          <cell r="AF199">
            <v>0</v>
          </cell>
          <cell r="AG199">
            <v>0</v>
          </cell>
          <cell r="AH199">
            <v>0</v>
          </cell>
          <cell r="AI199">
            <v>0</v>
          </cell>
          <cell r="AJ199">
            <v>0</v>
          </cell>
        </row>
        <row r="200">
          <cell r="B200" t="str">
            <v>p45</v>
          </cell>
          <cell r="G200">
            <v>0</v>
          </cell>
          <cell r="H200">
            <v>0</v>
          </cell>
          <cell r="I200">
            <v>1</v>
          </cell>
          <cell r="J200">
            <v>0</v>
          </cell>
          <cell r="K200">
            <v>0</v>
          </cell>
          <cell r="L200">
            <v>0</v>
          </cell>
          <cell r="M200">
            <v>0</v>
          </cell>
          <cell r="N200">
            <v>0</v>
          </cell>
          <cell r="O200">
            <v>0</v>
          </cell>
          <cell r="P200">
            <v>0</v>
          </cell>
          <cell r="Q200">
            <v>0</v>
          </cell>
          <cell r="R200">
            <v>0</v>
          </cell>
          <cell r="S200">
            <v>0</v>
          </cell>
          <cell r="T200">
            <v>0</v>
          </cell>
          <cell r="U200">
            <v>0</v>
          </cell>
          <cell r="V200">
            <v>0</v>
          </cell>
          <cell r="W200">
            <v>0</v>
          </cell>
          <cell r="X200">
            <v>0</v>
          </cell>
          <cell r="Y200">
            <v>0</v>
          </cell>
          <cell r="Z200">
            <v>0</v>
          </cell>
          <cell r="AA200">
            <v>0</v>
          </cell>
          <cell r="AB200">
            <v>0</v>
          </cell>
          <cell r="AC200">
            <v>0</v>
          </cell>
          <cell r="AD200">
            <v>0</v>
          </cell>
          <cell r="AE200">
            <v>0</v>
          </cell>
          <cell r="AF200">
            <v>0</v>
          </cell>
          <cell r="AG200">
            <v>0</v>
          </cell>
          <cell r="AH200">
            <v>0</v>
          </cell>
          <cell r="AI200">
            <v>0</v>
          </cell>
          <cell r="AJ200">
            <v>0</v>
          </cell>
        </row>
        <row r="201">
          <cell r="B201" t="str">
            <v>p46</v>
          </cell>
          <cell r="G201">
            <v>0</v>
          </cell>
          <cell r="H201">
            <v>0</v>
          </cell>
          <cell r="I201">
            <v>1</v>
          </cell>
          <cell r="J201">
            <v>0</v>
          </cell>
          <cell r="K201">
            <v>0</v>
          </cell>
          <cell r="L201">
            <v>0</v>
          </cell>
          <cell r="M201">
            <v>0</v>
          </cell>
          <cell r="N201">
            <v>0</v>
          </cell>
          <cell r="O201">
            <v>0</v>
          </cell>
          <cell r="P201">
            <v>0</v>
          </cell>
          <cell r="Q201">
            <v>0</v>
          </cell>
          <cell r="R201">
            <v>0</v>
          </cell>
          <cell r="S201">
            <v>0</v>
          </cell>
          <cell r="T201">
            <v>0</v>
          </cell>
          <cell r="U201">
            <v>0</v>
          </cell>
          <cell r="V201">
            <v>0</v>
          </cell>
          <cell r="W201">
            <v>0</v>
          </cell>
          <cell r="X201">
            <v>0</v>
          </cell>
          <cell r="Y201">
            <v>0</v>
          </cell>
          <cell r="Z201">
            <v>0</v>
          </cell>
          <cell r="AA201">
            <v>0</v>
          </cell>
          <cell r="AB201">
            <v>0</v>
          </cell>
          <cell r="AC201">
            <v>0</v>
          </cell>
          <cell r="AD201">
            <v>0</v>
          </cell>
          <cell r="AE201">
            <v>0</v>
          </cell>
          <cell r="AF201">
            <v>0</v>
          </cell>
          <cell r="AG201">
            <v>0</v>
          </cell>
          <cell r="AH201">
            <v>0</v>
          </cell>
          <cell r="AI201">
            <v>0</v>
          </cell>
          <cell r="AJ201">
            <v>0</v>
          </cell>
        </row>
        <row r="202">
          <cell r="B202" t="str">
            <v>p47</v>
          </cell>
          <cell r="G202">
            <v>0</v>
          </cell>
          <cell r="H202">
            <v>0</v>
          </cell>
          <cell r="I202">
            <v>1</v>
          </cell>
          <cell r="J202">
            <v>0</v>
          </cell>
          <cell r="K202">
            <v>0</v>
          </cell>
          <cell r="L202">
            <v>0</v>
          </cell>
          <cell r="M202">
            <v>0</v>
          </cell>
          <cell r="N202">
            <v>0</v>
          </cell>
          <cell r="O202">
            <v>0</v>
          </cell>
          <cell r="P202">
            <v>0</v>
          </cell>
          <cell r="Q202">
            <v>0</v>
          </cell>
          <cell r="R202">
            <v>0</v>
          </cell>
          <cell r="S202">
            <v>0</v>
          </cell>
          <cell r="T202">
            <v>0</v>
          </cell>
          <cell r="U202">
            <v>0</v>
          </cell>
          <cell r="V202">
            <v>0</v>
          </cell>
          <cell r="W202">
            <v>0</v>
          </cell>
          <cell r="X202">
            <v>0</v>
          </cell>
          <cell r="Y202">
            <v>0</v>
          </cell>
          <cell r="Z202">
            <v>0</v>
          </cell>
          <cell r="AA202">
            <v>0</v>
          </cell>
          <cell r="AB202">
            <v>0</v>
          </cell>
          <cell r="AC202">
            <v>0</v>
          </cell>
          <cell r="AD202">
            <v>0</v>
          </cell>
          <cell r="AE202">
            <v>0</v>
          </cell>
          <cell r="AF202">
            <v>0</v>
          </cell>
          <cell r="AG202">
            <v>0</v>
          </cell>
          <cell r="AH202">
            <v>0</v>
          </cell>
          <cell r="AI202">
            <v>0</v>
          </cell>
          <cell r="AJ202">
            <v>0</v>
          </cell>
        </row>
        <row r="203">
          <cell r="B203" t="str">
            <v>p48</v>
          </cell>
          <cell r="G203">
            <v>0</v>
          </cell>
          <cell r="H203">
            <v>0</v>
          </cell>
          <cell r="I203">
            <v>1</v>
          </cell>
          <cell r="J203">
            <v>0</v>
          </cell>
          <cell r="K203">
            <v>0</v>
          </cell>
          <cell r="L203">
            <v>0</v>
          </cell>
          <cell r="M203">
            <v>0</v>
          </cell>
          <cell r="N203">
            <v>0</v>
          </cell>
          <cell r="O203">
            <v>0</v>
          </cell>
          <cell r="P203">
            <v>0</v>
          </cell>
          <cell r="Q203">
            <v>0</v>
          </cell>
          <cell r="R203">
            <v>0</v>
          </cell>
          <cell r="S203">
            <v>0</v>
          </cell>
          <cell r="T203">
            <v>0</v>
          </cell>
          <cell r="U203">
            <v>0</v>
          </cell>
          <cell r="V203">
            <v>0</v>
          </cell>
          <cell r="W203">
            <v>0</v>
          </cell>
          <cell r="X203">
            <v>0</v>
          </cell>
          <cell r="Y203">
            <v>0</v>
          </cell>
          <cell r="Z203">
            <v>0</v>
          </cell>
          <cell r="AA203">
            <v>0</v>
          </cell>
          <cell r="AB203">
            <v>0</v>
          </cell>
          <cell r="AC203">
            <v>0</v>
          </cell>
          <cell r="AD203">
            <v>0</v>
          </cell>
          <cell r="AE203">
            <v>0</v>
          </cell>
          <cell r="AF203">
            <v>0</v>
          </cell>
          <cell r="AG203">
            <v>0</v>
          </cell>
          <cell r="AH203">
            <v>0</v>
          </cell>
          <cell r="AI203">
            <v>0</v>
          </cell>
          <cell r="AJ203">
            <v>0</v>
          </cell>
        </row>
        <row r="204">
          <cell r="B204" t="str">
            <v>p49</v>
          </cell>
          <cell r="G204">
            <v>0</v>
          </cell>
          <cell r="H204">
            <v>0</v>
          </cell>
          <cell r="I204">
            <v>0</v>
          </cell>
          <cell r="J204">
            <v>0</v>
          </cell>
          <cell r="K204">
            <v>0</v>
          </cell>
          <cell r="L204">
            <v>1</v>
          </cell>
          <cell r="M204">
            <v>0</v>
          </cell>
          <cell r="N204">
            <v>0</v>
          </cell>
          <cell r="O204">
            <v>0</v>
          </cell>
          <cell r="P204">
            <v>0</v>
          </cell>
          <cell r="Q204">
            <v>0</v>
          </cell>
          <cell r="R204">
            <v>0</v>
          </cell>
          <cell r="S204">
            <v>0</v>
          </cell>
          <cell r="T204">
            <v>0</v>
          </cell>
          <cell r="U204">
            <v>0</v>
          </cell>
          <cell r="V204">
            <v>0</v>
          </cell>
          <cell r="W204">
            <v>0</v>
          </cell>
          <cell r="X204">
            <v>0</v>
          </cell>
          <cell r="Y204">
            <v>0</v>
          </cell>
          <cell r="Z204">
            <v>0</v>
          </cell>
          <cell r="AA204">
            <v>0</v>
          </cell>
          <cell r="AB204">
            <v>0</v>
          </cell>
          <cell r="AC204">
            <v>0</v>
          </cell>
          <cell r="AD204">
            <v>0</v>
          </cell>
          <cell r="AE204">
            <v>0</v>
          </cell>
          <cell r="AF204">
            <v>0</v>
          </cell>
          <cell r="AG204">
            <v>0</v>
          </cell>
          <cell r="AH204">
            <v>0</v>
          </cell>
          <cell r="AI204">
            <v>0</v>
          </cell>
          <cell r="AJ204">
            <v>0</v>
          </cell>
        </row>
        <row r="205">
          <cell r="B205" t="str">
            <v>p50</v>
          </cell>
          <cell r="G205">
            <v>0</v>
          </cell>
          <cell r="H205">
            <v>0</v>
          </cell>
          <cell r="I205">
            <v>0</v>
          </cell>
          <cell r="J205">
            <v>0</v>
          </cell>
          <cell r="K205">
            <v>0</v>
          </cell>
          <cell r="L205">
            <v>1</v>
          </cell>
          <cell r="M205">
            <v>0</v>
          </cell>
          <cell r="N205">
            <v>0</v>
          </cell>
          <cell r="O205">
            <v>0</v>
          </cell>
          <cell r="P205">
            <v>0</v>
          </cell>
          <cell r="Q205">
            <v>0</v>
          </cell>
          <cell r="R205">
            <v>0</v>
          </cell>
          <cell r="S205">
            <v>0</v>
          </cell>
          <cell r="T205">
            <v>0</v>
          </cell>
          <cell r="U205">
            <v>0</v>
          </cell>
          <cell r="V205">
            <v>0</v>
          </cell>
          <cell r="W205">
            <v>0</v>
          </cell>
          <cell r="X205">
            <v>0</v>
          </cell>
          <cell r="Y205">
            <v>0</v>
          </cell>
          <cell r="Z205">
            <v>0</v>
          </cell>
          <cell r="AA205">
            <v>0</v>
          </cell>
          <cell r="AB205">
            <v>0</v>
          </cell>
          <cell r="AC205">
            <v>0</v>
          </cell>
          <cell r="AD205">
            <v>0</v>
          </cell>
          <cell r="AE205">
            <v>0</v>
          </cell>
          <cell r="AF205">
            <v>0</v>
          </cell>
          <cell r="AG205">
            <v>0</v>
          </cell>
          <cell r="AH205">
            <v>0</v>
          </cell>
          <cell r="AI205">
            <v>0</v>
          </cell>
          <cell r="AJ205">
            <v>0</v>
          </cell>
        </row>
        <row r="206">
          <cell r="B206" t="str">
            <v>p51</v>
          </cell>
          <cell r="G206">
            <v>0</v>
          </cell>
          <cell r="H206">
            <v>0</v>
          </cell>
          <cell r="I206">
            <v>0</v>
          </cell>
          <cell r="J206">
            <v>0</v>
          </cell>
          <cell r="K206">
            <v>1</v>
          </cell>
          <cell r="L206">
            <v>0</v>
          </cell>
          <cell r="M206">
            <v>0</v>
          </cell>
          <cell r="N206">
            <v>0</v>
          </cell>
          <cell r="O206">
            <v>0</v>
          </cell>
          <cell r="P206">
            <v>0</v>
          </cell>
          <cell r="Q206">
            <v>0</v>
          </cell>
          <cell r="R206">
            <v>0</v>
          </cell>
          <cell r="S206">
            <v>0</v>
          </cell>
          <cell r="T206">
            <v>0</v>
          </cell>
          <cell r="U206">
            <v>0</v>
          </cell>
          <cell r="V206">
            <v>0</v>
          </cell>
          <cell r="W206">
            <v>0</v>
          </cell>
          <cell r="X206">
            <v>0</v>
          </cell>
          <cell r="Y206">
            <v>0</v>
          </cell>
          <cell r="Z206">
            <v>0</v>
          </cell>
          <cell r="AA206">
            <v>0</v>
          </cell>
          <cell r="AB206">
            <v>0</v>
          </cell>
          <cell r="AC206">
            <v>0</v>
          </cell>
          <cell r="AD206">
            <v>0</v>
          </cell>
          <cell r="AE206">
            <v>0</v>
          </cell>
          <cell r="AF206">
            <v>0</v>
          </cell>
          <cell r="AG206">
            <v>0</v>
          </cell>
          <cell r="AH206">
            <v>0</v>
          </cell>
          <cell r="AI206">
            <v>0</v>
          </cell>
          <cell r="AJ206">
            <v>0</v>
          </cell>
        </row>
        <row r="207">
          <cell r="B207" t="str">
            <v>p52</v>
          </cell>
          <cell r="G207">
            <v>0</v>
          </cell>
          <cell r="H207">
            <v>0</v>
          </cell>
          <cell r="I207">
            <v>0</v>
          </cell>
          <cell r="J207">
            <v>0</v>
          </cell>
          <cell r="K207">
            <v>0</v>
          </cell>
          <cell r="L207">
            <v>1</v>
          </cell>
          <cell r="M207">
            <v>0</v>
          </cell>
          <cell r="N207">
            <v>0</v>
          </cell>
          <cell r="O207">
            <v>0</v>
          </cell>
          <cell r="P207">
            <v>0</v>
          </cell>
          <cell r="Q207">
            <v>0</v>
          </cell>
          <cell r="R207">
            <v>0</v>
          </cell>
          <cell r="S207">
            <v>0</v>
          </cell>
          <cell r="T207">
            <v>0</v>
          </cell>
          <cell r="U207">
            <v>0</v>
          </cell>
          <cell r="V207">
            <v>0</v>
          </cell>
          <cell r="W207">
            <v>0</v>
          </cell>
          <cell r="X207">
            <v>0</v>
          </cell>
          <cell r="Y207">
            <v>0</v>
          </cell>
          <cell r="Z207">
            <v>0</v>
          </cell>
          <cell r="AA207">
            <v>0</v>
          </cell>
          <cell r="AB207">
            <v>0</v>
          </cell>
          <cell r="AC207">
            <v>0</v>
          </cell>
          <cell r="AD207">
            <v>0</v>
          </cell>
          <cell r="AE207">
            <v>0</v>
          </cell>
          <cell r="AF207">
            <v>0</v>
          </cell>
          <cell r="AG207">
            <v>0</v>
          </cell>
          <cell r="AH207">
            <v>0</v>
          </cell>
          <cell r="AI207">
            <v>0</v>
          </cell>
          <cell r="AJ207">
            <v>0</v>
          </cell>
        </row>
        <row r="208">
          <cell r="B208" t="str">
            <v>p53</v>
          </cell>
          <cell r="G208">
            <v>0</v>
          </cell>
          <cell r="H208">
            <v>0</v>
          </cell>
          <cell r="I208">
            <v>0</v>
          </cell>
          <cell r="J208">
            <v>0</v>
          </cell>
          <cell r="K208">
            <v>0</v>
          </cell>
          <cell r="L208">
            <v>0</v>
          </cell>
          <cell r="M208">
            <v>0.33</v>
          </cell>
          <cell r="N208">
            <v>0.33</v>
          </cell>
          <cell r="O208">
            <v>0.34</v>
          </cell>
          <cell r="P208">
            <v>0</v>
          </cell>
          <cell r="Q208">
            <v>0</v>
          </cell>
          <cell r="R208">
            <v>0</v>
          </cell>
          <cell r="S208">
            <v>0</v>
          </cell>
          <cell r="T208">
            <v>0</v>
          </cell>
          <cell r="U208">
            <v>0</v>
          </cell>
          <cell r="V208">
            <v>0</v>
          </cell>
          <cell r="W208">
            <v>0</v>
          </cell>
          <cell r="X208">
            <v>0</v>
          </cell>
          <cell r="Y208">
            <v>0</v>
          </cell>
          <cell r="Z208">
            <v>0</v>
          </cell>
          <cell r="AA208">
            <v>0</v>
          </cell>
          <cell r="AB208">
            <v>0</v>
          </cell>
          <cell r="AC208">
            <v>0</v>
          </cell>
          <cell r="AD208">
            <v>0</v>
          </cell>
          <cell r="AE208">
            <v>0</v>
          </cell>
          <cell r="AF208">
            <v>0</v>
          </cell>
          <cell r="AG208">
            <v>0</v>
          </cell>
          <cell r="AH208">
            <v>0</v>
          </cell>
          <cell r="AI208">
            <v>0</v>
          </cell>
          <cell r="AJ208">
            <v>0</v>
          </cell>
        </row>
        <row r="209">
          <cell r="B209" t="str">
            <v>p54</v>
          </cell>
          <cell r="G209">
            <v>0</v>
          </cell>
          <cell r="H209">
            <v>0</v>
          </cell>
          <cell r="I209">
            <v>0</v>
          </cell>
          <cell r="J209">
            <v>0</v>
          </cell>
          <cell r="K209">
            <v>0</v>
          </cell>
          <cell r="L209">
            <v>0.5</v>
          </cell>
          <cell r="M209">
            <v>0.5</v>
          </cell>
          <cell r="N209">
            <v>0</v>
          </cell>
          <cell r="O209">
            <v>0</v>
          </cell>
          <cell r="P209">
            <v>0</v>
          </cell>
          <cell r="Q209">
            <v>0</v>
          </cell>
          <cell r="R209">
            <v>0</v>
          </cell>
          <cell r="S209">
            <v>0</v>
          </cell>
          <cell r="T209">
            <v>0</v>
          </cell>
          <cell r="U209">
            <v>0</v>
          </cell>
          <cell r="V209">
            <v>0</v>
          </cell>
          <cell r="W209">
            <v>0</v>
          </cell>
          <cell r="X209">
            <v>0</v>
          </cell>
          <cell r="Y209">
            <v>0</v>
          </cell>
          <cell r="Z209">
            <v>0</v>
          </cell>
          <cell r="AA209">
            <v>0</v>
          </cell>
          <cell r="AB209">
            <v>0</v>
          </cell>
          <cell r="AC209">
            <v>0</v>
          </cell>
          <cell r="AD209">
            <v>0</v>
          </cell>
          <cell r="AE209">
            <v>0</v>
          </cell>
          <cell r="AF209">
            <v>0</v>
          </cell>
          <cell r="AG209">
            <v>0</v>
          </cell>
          <cell r="AH209">
            <v>0</v>
          </cell>
          <cell r="AI209">
            <v>0</v>
          </cell>
          <cell r="AJ209">
            <v>0</v>
          </cell>
        </row>
        <row r="210">
          <cell r="B210" t="str">
            <v>p55</v>
          </cell>
          <cell r="G210">
            <v>0</v>
          </cell>
          <cell r="H210">
            <v>0</v>
          </cell>
          <cell r="I210">
            <v>0.5</v>
          </cell>
          <cell r="J210">
            <v>0.5</v>
          </cell>
          <cell r="K210">
            <v>0</v>
          </cell>
          <cell r="L210">
            <v>0</v>
          </cell>
          <cell r="M210">
            <v>0</v>
          </cell>
          <cell r="N210">
            <v>0</v>
          </cell>
          <cell r="O210">
            <v>0</v>
          </cell>
          <cell r="P210">
            <v>0</v>
          </cell>
          <cell r="Q210">
            <v>0</v>
          </cell>
          <cell r="R210">
            <v>0</v>
          </cell>
          <cell r="S210">
            <v>0</v>
          </cell>
          <cell r="T210">
            <v>0</v>
          </cell>
          <cell r="U210">
            <v>0</v>
          </cell>
          <cell r="V210">
            <v>0</v>
          </cell>
          <cell r="W210">
            <v>0</v>
          </cell>
          <cell r="X210">
            <v>0</v>
          </cell>
          <cell r="Y210">
            <v>0</v>
          </cell>
          <cell r="Z210">
            <v>0</v>
          </cell>
          <cell r="AA210">
            <v>0</v>
          </cell>
          <cell r="AB210">
            <v>0</v>
          </cell>
          <cell r="AC210">
            <v>0</v>
          </cell>
          <cell r="AD210">
            <v>0</v>
          </cell>
          <cell r="AE210">
            <v>0</v>
          </cell>
          <cell r="AF210">
            <v>0</v>
          </cell>
          <cell r="AG210">
            <v>0</v>
          </cell>
          <cell r="AH210">
            <v>0</v>
          </cell>
          <cell r="AI210">
            <v>0</v>
          </cell>
          <cell r="AJ210">
            <v>0</v>
          </cell>
        </row>
        <row r="211">
          <cell r="B211" t="str">
            <v>p56</v>
          </cell>
          <cell r="G211">
            <v>0</v>
          </cell>
          <cell r="H211">
            <v>0</v>
          </cell>
          <cell r="I211">
            <v>0.5</v>
          </cell>
          <cell r="J211">
            <v>0.5</v>
          </cell>
          <cell r="K211">
            <v>0</v>
          </cell>
          <cell r="L211">
            <v>0</v>
          </cell>
          <cell r="M211">
            <v>0</v>
          </cell>
          <cell r="N211">
            <v>0</v>
          </cell>
          <cell r="O211">
            <v>0</v>
          </cell>
          <cell r="P211">
            <v>0</v>
          </cell>
          <cell r="Q211">
            <v>0</v>
          </cell>
          <cell r="R211">
            <v>0</v>
          </cell>
          <cell r="S211">
            <v>0</v>
          </cell>
          <cell r="T211">
            <v>0</v>
          </cell>
          <cell r="U211">
            <v>0</v>
          </cell>
          <cell r="V211">
            <v>0</v>
          </cell>
          <cell r="W211">
            <v>0</v>
          </cell>
          <cell r="X211">
            <v>0</v>
          </cell>
          <cell r="Y211">
            <v>0</v>
          </cell>
          <cell r="Z211">
            <v>0</v>
          </cell>
          <cell r="AA211">
            <v>0</v>
          </cell>
          <cell r="AB211">
            <v>0</v>
          </cell>
          <cell r="AC211">
            <v>0</v>
          </cell>
          <cell r="AD211">
            <v>0</v>
          </cell>
          <cell r="AE211">
            <v>0</v>
          </cell>
          <cell r="AF211">
            <v>0</v>
          </cell>
          <cell r="AG211">
            <v>0</v>
          </cell>
          <cell r="AH211">
            <v>0</v>
          </cell>
          <cell r="AI211">
            <v>0</v>
          </cell>
          <cell r="AJ211">
            <v>0</v>
          </cell>
        </row>
        <row r="212">
          <cell r="B212" t="str">
            <v>p57</v>
          </cell>
          <cell r="G212">
            <v>0</v>
          </cell>
          <cell r="H212">
            <v>0</v>
          </cell>
          <cell r="I212">
            <v>0</v>
          </cell>
          <cell r="J212">
            <v>0</v>
          </cell>
          <cell r="K212">
            <v>0.5</v>
          </cell>
          <cell r="L212">
            <v>0.5</v>
          </cell>
          <cell r="M212">
            <v>0</v>
          </cell>
          <cell r="N212">
            <v>0</v>
          </cell>
          <cell r="O212">
            <v>0</v>
          </cell>
          <cell r="P212">
            <v>0</v>
          </cell>
          <cell r="Q212">
            <v>0</v>
          </cell>
          <cell r="R212">
            <v>0</v>
          </cell>
          <cell r="S212">
            <v>0</v>
          </cell>
          <cell r="T212">
            <v>0</v>
          </cell>
          <cell r="U212">
            <v>0</v>
          </cell>
          <cell r="V212">
            <v>0</v>
          </cell>
          <cell r="W212">
            <v>0</v>
          </cell>
          <cell r="X212">
            <v>0</v>
          </cell>
          <cell r="Y212">
            <v>0</v>
          </cell>
          <cell r="Z212">
            <v>0</v>
          </cell>
          <cell r="AA212">
            <v>0</v>
          </cell>
          <cell r="AB212">
            <v>0</v>
          </cell>
          <cell r="AC212">
            <v>0</v>
          </cell>
          <cell r="AD212">
            <v>0</v>
          </cell>
          <cell r="AE212">
            <v>0</v>
          </cell>
          <cell r="AF212">
            <v>0</v>
          </cell>
          <cell r="AG212">
            <v>0</v>
          </cell>
          <cell r="AH212">
            <v>0</v>
          </cell>
          <cell r="AI212">
            <v>0</v>
          </cell>
          <cell r="AJ212">
            <v>0</v>
          </cell>
        </row>
        <row r="213">
          <cell r="B213" t="str">
            <v>p58</v>
          </cell>
          <cell r="G213">
            <v>0</v>
          </cell>
          <cell r="H213">
            <v>0</v>
          </cell>
          <cell r="I213">
            <v>0</v>
          </cell>
          <cell r="J213">
            <v>0</v>
          </cell>
          <cell r="K213">
            <v>0</v>
          </cell>
          <cell r="L213">
            <v>0</v>
          </cell>
          <cell r="M213">
            <v>0.5</v>
          </cell>
          <cell r="N213">
            <v>0.5</v>
          </cell>
          <cell r="O213">
            <v>0</v>
          </cell>
          <cell r="P213">
            <v>0</v>
          </cell>
          <cell r="Q213">
            <v>0</v>
          </cell>
          <cell r="R213">
            <v>0</v>
          </cell>
          <cell r="S213">
            <v>0</v>
          </cell>
          <cell r="T213">
            <v>0</v>
          </cell>
          <cell r="U213">
            <v>0</v>
          </cell>
          <cell r="V213">
            <v>0</v>
          </cell>
          <cell r="W213">
            <v>0</v>
          </cell>
          <cell r="X213">
            <v>0</v>
          </cell>
          <cell r="Y213">
            <v>0</v>
          </cell>
          <cell r="Z213">
            <v>0</v>
          </cell>
          <cell r="AA213">
            <v>0</v>
          </cell>
          <cell r="AB213">
            <v>0</v>
          </cell>
          <cell r="AC213">
            <v>0</v>
          </cell>
          <cell r="AD213">
            <v>0</v>
          </cell>
          <cell r="AE213">
            <v>0</v>
          </cell>
          <cell r="AF213">
            <v>0</v>
          </cell>
          <cell r="AG213">
            <v>0</v>
          </cell>
          <cell r="AH213">
            <v>0</v>
          </cell>
          <cell r="AI213">
            <v>0</v>
          </cell>
          <cell r="AJ213">
            <v>0</v>
          </cell>
        </row>
        <row r="214">
          <cell r="B214" t="str">
            <v>p59</v>
          </cell>
          <cell r="G214">
            <v>0</v>
          </cell>
          <cell r="H214">
            <v>0</v>
          </cell>
          <cell r="I214">
            <v>0</v>
          </cell>
          <cell r="J214">
            <v>0</v>
          </cell>
          <cell r="K214">
            <v>0</v>
          </cell>
          <cell r="L214">
            <v>0</v>
          </cell>
          <cell r="M214">
            <v>0.5</v>
          </cell>
          <cell r="N214">
            <v>0.5</v>
          </cell>
          <cell r="O214">
            <v>0</v>
          </cell>
          <cell r="P214">
            <v>0</v>
          </cell>
          <cell r="Q214">
            <v>0</v>
          </cell>
          <cell r="R214">
            <v>0</v>
          </cell>
          <cell r="S214">
            <v>0</v>
          </cell>
          <cell r="T214">
            <v>0</v>
          </cell>
          <cell r="U214">
            <v>0</v>
          </cell>
          <cell r="V214">
            <v>0</v>
          </cell>
          <cell r="W214">
            <v>0</v>
          </cell>
          <cell r="X214">
            <v>0</v>
          </cell>
          <cell r="Y214">
            <v>0</v>
          </cell>
          <cell r="Z214">
            <v>0</v>
          </cell>
          <cell r="AA214">
            <v>0</v>
          </cell>
          <cell r="AB214">
            <v>0</v>
          </cell>
          <cell r="AC214">
            <v>0</v>
          </cell>
          <cell r="AD214">
            <v>0</v>
          </cell>
          <cell r="AE214">
            <v>0</v>
          </cell>
          <cell r="AF214">
            <v>0</v>
          </cell>
          <cell r="AG214">
            <v>0</v>
          </cell>
          <cell r="AH214">
            <v>0</v>
          </cell>
          <cell r="AI214">
            <v>0</v>
          </cell>
          <cell r="AJ214">
            <v>0</v>
          </cell>
        </row>
        <row r="218">
          <cell r="B218">
            <v>0</v>
          </cell>
          <cell r="I218">
            <v>0</v>
          </cell>
          <cell r="N218">
            <v>0</v>
          </cell>
        </row>
        <row r="219">
          <cell r="B219">
            <v>0</v>
          </cell>
          <cell r="I219">
            <v>0</v>
          </cell>
          <cell r="N219">
            <v>0</v>
          </cell>
        </row>
        <row r="220">
          <cell r="B220">
            <v>0</v>
          </cell>
          <cell r="I220">
            <v>0</v>
          </cell>
          <cell r="N220">
            <v>0</v>
          </cell>
        </row>
        <row r="221">
          <cell r="B221">
            <v>0</v>
          </cell>
          <cell r="I221">
            <v>0</v>
          </cell>
          <cell r="N221">
            <v>0</v>
          </cell>
        </row>
        <row r="222">
          <cell r="B222">
            <v>0</v>
          </cell>
          <cell r="I222">
            <v>0</v>
          </cell>
          <cell r="N222">
            <v>0</v>
          </cell>
        </row>
      </sheetData>
      <sheetData sheetId="22" refreshError="1"/>
      <sheetData sheetId="23">
        <row r="6">
          <cell r="H6">
            <v>603.1640000000001</v>
          </cell>
        </row>
      </sheetData>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ow r="34">
          <cell r="C34" t="str">
            <v xml:space="preserve">Construção rodoviária </v>
          </cell>
        </row>
        <row r="35">
          <cell r="C35" t="str">
            <v xml:space="preserve">Restauração rodoviária </v>
          </cell>
        </row>
        <row r="36">
          <cell r="C36" t="str">
            <v xml:space="preserve">Conservação rodoviária </v>
          </cell>
        </row>
        <row r="37">
          <cell r="C37" t="str">
            <v xml:space="preserve">Construção de obras de arte especiais </v>
          </cell>
        </row>
        <row r="38">
          <cell r="C38" t="str">
            <v xml:space="preserve">Recuperação, reforço e alargamento de obras de arte especiais </v>
          </cell>
        </row>
      </sheetData>
      <sheetData sheetId="63">
        <row r="34">
          <cell r="B34" t="str">
            <v>PREÇO BASE: JANEIRO/2019</v>
          </cell>
          <cell r="DS34">
            <v>1.0335248790636142</v>
          </cell>
        </row>
        <row r="35">
          <cell r="F35" t="str">
            <v>FIT 0%</v>
          </cell>
          <cell r="G35" t="str">
            <v>FIT 15%</v>
          </cell>
          <cell r="H35" t="str">
            <v>FIT 20%</v>
          </cell>
          <cell r="J35" t="str">
            <v>FIT 0%</v>
          </cell>
          <cell r="K35" t="str">
            <v>FIT 15%</v>
          </cell>
          <cell r="L35" t="str">
            <v>FIT 20%</v>
          </cell>
          <cell r="W35" t="str">
            <v>Códigos</v>
          </cell>
          <cell r="X35" t="str">
            <v>Descrição</v>
          </cell>
          <cell r="Y35" t="str">
            <v>Und</v>
          </cell>
          <cell r="Z35" t="str">
            <v>Custo H. Prod</v>
          </cell>
          <cell r="AA35" t="str">
            <v>Cust H. Improd.</v>
          </cell>
          <cell r="BC35" t="str">
            <v>Códigos</v>
          </cell>
          <cell r="BD35" t="str">
            <v>Descrição</v>
          </cell>
          <cell r="BE35" t="str">
            <v>Und</v>
          </cell>
          <cell r="BF35" t="str">
            <v>Custo H. Prod</v>
          </cell>
          <cell r="BG35" t="str">
            <v>Cust H. Improd.</v>
          </cell>
          <cell r="CC35" t="str">
            <v>Grupo</v>
          </cell>
          <cell r="CD35" t="str">
            <v>Descrição</v>
          </cell>
          <cell r="CE35" t="str">
            <v>UNID.</v>
          </cell>
          <cell r="CF35">
            <v>0</v>
          </cell>
          <cell r="CG35" t="str">
            <v>Quant</v>
          </cell>
          <cell r="CH35" t="str">
            <v>Área</v>
          </cell>
          <cell r="CI35" t="str">
            <v>Código</v>
          </cell>
          <cell r="CJ35" t="str">
            <v>P.U.</v>
          </cell>
          <cell r="CK35" t="str">
            <v>SP</v>
          </cell>
          <cell r="CL35" t="str">
            <v>Código</v>
          </cell>
          <cell r="CM35" t="str">
            <v>P.U.</v>
          </cell>
          <cell r="CN35" t="str">
            <v>RJ</v>
          </cell>
        </row>
        <row r="36">
          <cell r="B36" t="str">
            <v>CPU01</v>
          </cell>
          <cell r="C36" t="str">
            <v>Cálculo Binomio</v>
          </cell>
          <cell r="D36" t="str">
            <v>Fornecimento de CAP 50/70 (BR-116-SP)</v>
          </cell>
          <cell r="E36" t="str">
            <v>t</v>
          </cell>
          <cell r="F36">
            <v>3571.7922525333884</v>
          </cell>
          <cell r="G36">
            <v>3571.7922525333884</v>
          </cell>
          <cell r="H36">
            <v>3571.7922525333884</v>
          </cell>
          <cell r="I36">
            <v>0</v>
          </cell>
          <cell r="J36">
            <v>0</v>
          </cell>
          <cell r="K36">
            <v>0</v>
          </cell>
          <cell r="L36">
            <v>0</v>
          </cell>
          <cell r="W36" t="str">
            <v>E9541</v>
          </cell>
          <cell r="X36" t="str">
            <v>Trator de esteiras com lâmina - 259 kW</v>
          </cell>
          <cell r="Y36" t="str">
            <v>h</v>
          </cell>
          <cell r="Z36">
            <v>425.72129999999999</v>
          </cell>
          <cell r="AA36">
            <v>161.42320000000001</v>
          </cell>
          <cell r="BC36" t="str">
            <v>E9541</v>
          </cell>
          <cell r="BD36" t="str">
            <v>Trator de esteiras com lâmina - 259 kW</v>
          </cell>
          <cell r="BE36" t="str">
            <v>h</v>
          </cell>
          <cell r="BF36">
            <v>421.84800000000001</v>
          </cell>
          <cell r="BG36">
            <v>159.85640000000001</v>
          </cell>
          <cell r="CC36" t="str">
            <v>ST</v>
          </cell>
          <cell r="CD36" t="str">
            <v>Selagem de trincas com mastique asfáltico</v>
          </cell>
          <cell r="CE36">
            <v>0</v>
          </cell>
          <cell r="CF36">
            <v>0</v>
          </cell>
          <cell r="CG36">
            <v>0</v>
          </cell>
          <cell r="CH36">
            <v>0</v>
          </cell>
          <cell r="CI36">
            <v>0</v>
          </cell>
          <cell r="CJ36">
            <v>0</v>
          </cell>
          <cell r="CK36">
            <v>38.430185974999993</v>
          </cell>
          <cell r="CL36">
            <v>0</v>
          </cell>
          <cell r="CM36">
            <v>0</v>
          </cell>
          <cell r="CN36">
            <v>38.010621237499997</v>
          </cell>
          <cell r="DN36" t="str">
            <v>Função</v>
          </cell>
          <cell r="DO36" t="str">
            <v>Salário Min (ABCR)</v>
          </cell>
          <cell r="DP36" t="str">
            <v>Salário Médiano (ABCR)</v>
          </cell>
          <cell r="DQ36" t="str">
            <v>Fator de correção</v>
          </cell>
          <cell r="DR36" t="str">
            <v>Salário Adotado</v>
          </cell>
          <cell r="DS36" t="str">
            <v>Encargos</v>
          </cell>
        </row>
        <row r="37">
          <cell r="B37" t="str">
            <v>CPU01-1</v>
          </cell>
          <cell r="C37" t="str">
            <v>Cálculo Binomio</v>
          </cell>
          <cell r="D37" t="str">
            <v>Fornecimento de CAP 50/70 (BR-116-RJ)</v>
          </cell>
          <cell r="E37" t="str">
            <v>t</v>
          </cell>
          <cell r="F37">
            <v>0</v>
          </cell>
          <cell r="G37">
            <v>0</v>
          </cell>
          <cell r="H37">
            <v>0</v>
          </cell>
          <cell r="I37">
            <v>0</v>
          </cell>
          <cell r="J37">
            <v>3582.3359691513733</v>
          </cell>
          <cell r="K37">
            <v>3582.3359691513733</v>
          </cell>
          <cell r="L37">
            <v>3582.3359691513733</v>
          </cell>
          <cell r="W37" t="str">
            <v>P9824</v>
          </cell>
          <cell r="X37" t="str">
            <v>Servente</v>
          </cell>
          <cell r="Y37" t="str">
            <v>h</v>
          </cell>
          <cell r="Z37">
            <v>21.040400000000002</v>
          </cell>
          <cell r="AA37">
            <v>0</v>
          </cell>
          <cell r="BC37" t="str">
            <v>P9824</v>
          </cell>
          <cell r="BD37" t="str">
            <v>Servente</v>
          </cell>
          <cell r="BE37" t="str">
            <v>h</v>
          </cell>
          <cell r="BF37">
            <v>20.433499999999999</v>
          </cell>
          <cell r="BG37">
            <v>0</v>
          </cell>
          <cell r="CC37" t="str">
            <v>(m²)</v>
          </cell>
          <cell r="CD37" t="str">
            <v>IMPERMEABILIZACAO DE SUPERFICIE COM MASTIQUE ELASTICO</v>
          </cell>
          <cell r="CE37" t="str">
            <v>DM3</v>
          </cell>
          <cell r="CF37" t="str">
            <v>2,5 L/m²</v>
          </cell>
          <cell r="CG37">
            <v>0.25</v>
          </cell>
          <cell r="CH37">
            <v>1</v>
          </cell>
          <cell r="CI37">
            <v>72124</v>
          </cell>
          <cell r="CJ37">
            <v>117.03139999999999</v>
          </cell>
          <cell r="CK37">
            <v>38.430185974999993</v>
          </cell>
          <cell r="CL37">
            <v>72124</v>
          </cell>
          <cell r="CM37">
            <v>115.75369999999999</v>
          </cell>
          <cell r="CN37">
            <v>38.010621237499997</v>
          </cell>
          <cell r="DN37" t="str">
            <v>Unidade de Relações Institucionais</v>
          </cell>
          <cell r="DO37">
            <v>0</v>
          </cell>
          <cell r="DP37">
            <v>0</v>
          </cell>
          <cell r="DQ37">
            <v>0</v>
          </cell>
          <cell r="DR37">
            <v>0</v>
          </cell>
          <cell r="DS37">
            <v>0</v>
          </cell>
        </row>
        <row r="38">
          <cell r="B38" t="str">
            <v>CPU01-2</v>
          </cell>
          <cell r="C38" t="str">
            <v>Cálculo Binomio</v>
          </cell>
          <cell r="D38" t="str">
            <v>Fornecimento de CAP 50/70 (BR-101-SP)</v>
          </cell>
          <cell r="E38" t="str">
            <v>t</v>
          </cell>
          <cell r="F38">
            <v>3587.1672744099869</v>
          </cell>
          <cell r="G38">
            <v>3587.1672744099869</v>
          </cell>
          <cell r="H38">
            <v>3587.1672744099869</v>
          </cell>
          <cell r="I38">
            <v>0</v>
          </cell>
          <cell r="J38">
            <v>0</v>
          </cell>
          <cell r="K38">
            <v>0</v>
          </cell>
          <cell r="L38">
            <v>0</v>
          </cell>
          <cell r="W38" t="str">
            <v>E9506</v>
          </cell>
          <cell r="X38" t="str">
            <v>Caminhão basculante com capacidade de 6 m³ - 136 kW</v>
          </cell>
          <cell r="Y38" t="str">
            <v>h</v>
          </cell>
          <cell r="Z38">
            <v>135.1088</v>
          </cell>
          <cell r="AA38">
            <v>45.659799999999997</v>
          </cell>
          <cell r="BC38" t="str">
            <v>E9506</v>
          </cell>
          <cell r="BD38" t="str">
            <v>Caminhão basculante com capacidade de 6 m³ - 136 kW</v>
          </cell>
          <cell r="BE38" t="str">
            <v>h</v>
          </cell>
          <cell r="BF38">
            <v>134.66909999999999</v>
          </cell>
          <cell r="BG38">
            <v>46.417700000000004</v>
          </cell>
          <cell r="CC38" t="str">
            <v>LAA</v>
          </cell>
          <cell r="CD38" t="str">
            <v>Lama Asfáltica</v>
          </cell>
          <cell r="CE38">
            <v>0</v>
          </cell>
          <cell r="CF38">
            <v>0</v>
          </cell>
          <cell r="CG38">
            <v>0</v>
          </cell>
          <cell r="CH38">
            <v>0</v>
          </cell>
          <cell r="CI38">
            <v>0</v>
          </cell>
          <cell r="CJ38">
            <v>0</v>
          </cell>
          <cell r="CK38">
            <v>7.605235627187751</v>
          </cell>
          <cell r="CL38">
            <v>0</v>
          </cell>
          <cell r="CM38">
            <v>0</v>
          </cell>
          <cell r="CN38">
            <v>8.0015168208758496</v>
          </cell>
          <cell r="DN38" t="str">
            <v>Diretor Presidente</v>
          </cell>
          <cell r="DO38">
            <v>55064.43</v>
          </cell>
          <cell r="DP38">
            <v>63580.29</v>
          </cell>
          <cell r="DQ38">
            <v>1.0335248790636142</v>
          </cell>
          <cell r="DR38">
            <v>56910.458356456853</v>
          </cell>
          <cell r="DS38">
            <v>43757.099824004115</v>
          </cell>
        </row>
        <row r="39">
          <cell r="B39" t="str">
            <v>CPU01-3</v>
          </cell>
          <cell r="C39" t="str">
            <v>Cálculo Binomio</v>
          </cell>
          <cell r="D39" t="str">
            <v>Fornecimento de CAP 50/70 (BR-101- RJ)</v>
          </cell>
          <cell r="E39" t="str">
            <v>t</v>
          </cell>
          <cell r="F39">
            <v>0</v>
          </cell>
          <cell r="G39">
            <v>0</v>
          </cell>
          <cell r="H39">
            <v>0</v>
          </cell>
          <cell r="I39">
            <v>0</v>
          </cell>
          <cell r="J39">
            <v>3598.9081366662786</v>
          </cell>
          <cell r="K39">
            <v>3598.9081366662786</v>
          </cell>
          <cell r="L39">
            <v>3598.9081366662786</v>
          </cell>
          <cell r="W39" t="str">
            <v>E9584</v>
          </cell>
          <cell r="X39" t="str">
            <v>Carregadeira de pneus com capacidade de 1,53 m³ - 106 kW</v>
          </cell>
          <cell r="Y39" t="str">
            <v>h</v>
          </cell>
          <cell r="Z39">
            <v>133.66650000000001</v>
          </cell>
          <cell r="AA39">
            <v>57.601700000000001</v>
          </cell>
          <cell r="BC39" t="str">
            <v>E9584</v>
          </cell>
          <cell r="BD39" t="str">
            <v>Carregadeira de pneus com capacidade de 1,53 m³ - 106 kW</v>
          </cell>
          <cell r="BE39" t="str">
            <v>h</v>
          </cell>
          <cell r="BF39">
            <v>131.2688</v>
          </cell>
          <cell r="BG39">
            <v>56.132800000000003</v>
          </cell>
          <cell r="CC39" t="str">
            <v>(m²)</v>
          </cell>
          <cell r="CD39" t="str">
            <v>Lama asfáltica - faixa III</v>
          </cell>
          <cell r="CE39" t="str">
            <v>m²</v>
          </cell>
          <cell r="CF39" t="str">
            <v>1m²/m²</v>
          </cell>
          <cell r="CG39">
            <v>1</v>
          </cell>
          <cell r="CH39">
            <v>1</v>
          </cell>
          <cell r="CI39">
            <v>4011406</v>
          </cell>
          <cell r="CJ39">
            <v>1.1492954746001176</v>
          </cell>
          <cell r="CK39">
            <v>1.5095996058872543</v>
          </cell>
          <cell r="CL39">
            <v>4011406</v>
          </cell>
          <cell r="CM39">
            <v>1.2010396041707534</v>
          </cell>
          <cell r="CN39">
            <v>1.5775655200782845</v>
          </cell>
          <cell r="DN39" t="str">
            <v>Secretária Executiva</v>
          </cell>
          <cell r="DO39">
            <v>5033.38</v>
          </cell>
          <cell r="DP39">
            <v>5920.22</v>
          </cell>
          <cell r="DQ39">
            <v>1.0335248790636142</v>
          </cell>
          <cell r="DR39">
            <v>5202.1234557812149</v>
          </cell>
          <cell r="DS39">
            <v>4763.8444754046141</v>
          </cell>
        </row>
        <row r="40">
          <cell r="B40" t="str">
            <v>CPU03</v>
          </cell>
          <cell r="C40" t="str">
            <v>Cálculo Binomio</v>
          </cell>
          <cell r="D40" t="str">
            <v>Fornecimento de asfalto diluído CM 30 (BR-116-SP)</v>
          </cell>
          <cell r="E40" t="str">
            <v>t</v>
          </cell>
          <cell r="F40">
            <v>5708.8381834215088</v>
          </cell>
          <cell r="G40">
            <v>5708.8381834215088</v>
          </cell>
          <cell r="H40">
            <v>5708.8381834215088</v>
          </cell>
          <cell r="I40">
            <v>0</v>
          </cell>
          <cell r="J40">
            <v>0</v>
          </cell>
          <cell r="K40">
            <v>0</v>
          </cell>
          <cell r="L40">
            <v>0</v>
          </cell>
          <cell r="W40" t="str">
            <v>E9579</v>
          </cell>
          <cell r="X40" t="str">
            <v>Caminhão basculante com capacidade de 10 m³ - 188 kW</v>
          </cell>
          <cell r="Y40" t="str">
            <v>h</v>
          </cell>
          <cell r="Z40">
            <v>167.99709999999999</v>
          </cell>
          <cell r="AA40">
            <v>48.775100000000002</v>
          </cell>
          <cell r="BC40" t="str">
            <v>E9579</v>
          </cell>
          <cell r="BD40" t="str">
            <v>Caminhão basculante com capacidade de 10 m³ - 188 kW</v>
          </cell>
          <cell r="BE40" t="str">
            <v>h</v>
          </cell>
          <cell r="BF40">
            <v>167.09739999999999</v>
          </cell>
          <cell r="BG40">
            <v>49.518099999999997</v>
          </cell>
          <cell r="CC40">
            <v>0</v>
          </cell>
          <cell r="CD40" t="str">
            <v>Fornecimento de emulsão RR-1C</v>
          </cell>
          <cell r="CE40" t="str">
            <v>t</v>
          </cell>
          <cell r="CF40" t="str">
            <v>0,00070/m²</v>
          </cell>
          <cell r="CG40">
            <v>6.9999999999999999E-4</v>
          </cell>
          <cell r="CH40">
            <v>1</v>
          </cell>
          <cell r="CI40" t="str">
            <v>CPU10</v>
          </cell>
          <cell r="CJ40">
            <v>4481.4349761078774</v>
          </cell>
          <cell r="CK40">
            <v>3.1370044832755144</v>
          </cell>
          <cell r="CL40" t="str">
            <v>CPU10-1</v>
          </cell>
          <cell r="CM40">
            <v>4614.4401264709131</v>
          </cell>
          <cell r="CN40">
            <v>3.2301080885296392</v>
          </cell>
          <cell r="DN40" t="str">
            <v>Unidade de Relações Institucionais</v>
          </cell>
          <cell r="DO40">
            <v>0</v>
          </cell>
          <cell r="DP40">
            <v>0</v>
          </cell>
          <cell r="DQ40">
            <v>0</v>
          </cell>
          <cell r="DR40">
            <v>0</v>
          </cell>
          <cell r="DS40">
            <v>0</v>
          </cell>
        </row>
        <row r="41">
          <cell r="B41" t="str">
            <v>CPU03-1</v>
          </cell>
          <cell r="C41" t="str">
            <v>Cálculo Binomio</v>
          </cell>
          <cell r="D41" t="str">
            <v>Fornecimento de asfalto diluído CM 30 (BR-116-RJ)</v>
          </cell>
          <cell r="E41" t="str">
            <v>t</v>
          </cell>
          <cell r="F41">
            <v>0</v>
          </cell>
          <cell r="G41">
            <v>0</v>
          </cell>
          <cell r="H41">
            <v>0</v>
          </cell>
          <cell r="I41">
            <v>0</v>
          </cell>
          <cell r="J41">
            <v>5765.021046816737</v>
          </cell>
          <cell r="K41">
            <v>5765.021046816737</v>
          </cell>
          <cell r="L41">
            <v>5765.021046816737</v>
          </cell>
          <cell r="W41" t="str">
            <v>E9571</v>
          </cell>
          <cell r="X41" t="str">
            <v>Caminhão tanque com capacidade de 10.000 l - 188 kW</v>
          </cell>
          <cell r="Y41" t="str">
            <v>h</v>
          </cell>
          <cell r="Z41">
            <v>174.07220000000001</v>
          </cell>
          <cell r="AA41">
            <v>52.273400000000002</v>
          </cell>
          <cell r="BC41" t="str">
            <v>E9571</v>
          </cell>
          <cell r="BD41" t="str">
            <v>Caminhão tanque com capacidade de 10.000 l - 188 kW</v>
          </cell>
          <cell r="BE41" t="str">
            <v>h</v>
          </cell>
          <cell r="BF41">
            <v>173.1711</v>
          </cell>
          <cell r="BG41">
            <v>53.015599999999999</v>
          </cell>
          <cell r="CC41">
            <v>0</v>
          </cell>
          <cell r="CD41" t="str">
            <v>Pintura de ligação</v>
          </cell>
          <cell r="CE41" t="str">
            <v>m²</v>
          </cell>
          <cell r="CF41">
            <v>1</v>
          </cell>
          <cell r="CG41">
            <v>1</v>
          </cell>
          <cell r="CH41">
            <v>1</v>
          </cell>
          <cell r="CI41">
            <v>4011353</v>
          </cell>
          <cell r="CJ41">
            <v>0.18392808219669335</v>
          </cell>
          <cell r="CK41">
            <v>0.24158953596535671</v>
          </cell>
          <cell r="CL41">
            <v>4011353</v>
          </cell>
          <cell r="CM41">
            <v>0.18912484066666665</v>
          </cell>
          <cell r="CN41">
            <v>0.24841547821566662</v>
          </cell>
          <cell r="DN41" t="str">
            <v>Ombudsman/Ouvidor</v>
          </cell>
          <cell r="DO41">
            <v>5686.58</v>
          </cell>
          <cell r="DP41">
            <v>7801.3</v>
          </cell>
          <cell r="DQ41">
            <v>1.0335248790636142</v>
          </cell>
          <cell r="DR41">
            <v>5877.2219067855676</v>
          </cell>
          <cell r="DS41">
            <v>5272.9362173069967</v>
          </cell>
        </row>
        <row r="42">
          <cell r="B42" t="str">
            <v>CPU03-2</v>
          </cell>
          <cell r="C42" t="str">
            <v>Cálculo Binomio</v>
          </cell>
          <cell r="D42" t="str">
            <v>Fornecimento de asfalto diluído CM 30 (BR-101-SP)</v>
          </cell>
          <cell r="E42" t="str">
            <v>t</v>
          </cell>
          <cell r="F42">
            <v>5724.2132052981069</v>
          </cell>
          <cell r="G42">
            <v>5724.2132052981069</v>
          </cell>
          <cell r="H42">
            <v>5724.2132052981069</v>
          </cell>
          <cell r="I42">
            <v>0</v>
          </cell>
          <cell r="J42">
            <v>0</v>
          </cell>
          <cell r="K42">
            <v>0</v>
          </cell>
          <cell r="L42">
            <v>0</v>
          </cell>
          <cell r="W42" t="str">
            <v>E9518</v>
          </cell>
          <cell r="X42" t="str">
            <v>Grade de 24 discos rebocável de 24"</v>
          </cell>
          <cell r="Y42" t="str">
            <v>h</v>
          </cell>
          <cell r="Z42">
            <v>2.2092999999999998</v>
          </cell>
          <cell r="AA42">
            <v>1.5357000000000001</v>
          </cell>
          <cell r="BC42" t="str">
            <v>E9518</v>
          </cell>
          <cell r="BD42" t="str">
            <v>Grade de 24 discos rebocável de 24"</v>
          </cell>
          <cell r="BE42" t="str">
            <v>h</v>
          </cell>
          <cell r="BF42">
            <v>2.1897000000000002</v>
          </cell>
          <cell r="BG42">
            <v>1.5221</v>
          </cell>
          <cell r="CC42">
            <v>0</v>
          </cell>
          <cell r="CD42" t="str">
            <v>Fornecimento de emulsão RR-1C</v>
          </cell>
          <cell r="CE42" t="str">
            <v>t</v>
          </cell>
          <cell r="CF42" t="str">
            <v>0,00045 t</v>
          </cell>
          <cell r="CG42">
            <v>4.4999999999999999E-4</v>
          </cell>
          <cell r="CH42">
            <v>1</v>
          </cell>
          <cell r="CI42" t="str">
            <v>CPU04</v>
          </cell>
          <cell r="CJ42">
            <v>2511.8507594331254</v>
          </cell>
          <cell r="CK42">
            <v>1.1303328417449063</v>
          </cell>
          <cell r="CL42" t="str">
            <v>CPU04-1</v>
          </cell>
          <cell r="CM42">
            <v>2535.6603093736671</v>
          </cell>
          <cell r="CN42">
            <v>1.1410471392181503</v>
          </cell>
          <cell r="DN42" t="str">
            <v>Assessor de Relações Institucionais</v>
          </cell>
          <cell r="DO42">
            <v>7065.49</v>
          </cell>
          <cell r="DP42">
            <v>9164.61</v>
          </cell>
          <cell r="DQ42">
            <v>1.0335248790636142</v>
          </cell>
          <cell r="DR42">
            <v>7302.3596977751758</v>
          </cell>
          <cell r="DS42">
            <v>6347.6326254922596</v>
          </cell>
        </row>
        <row r="43">
          <cell r="B43" t="str">
            <v>CPU03-3</v>
          </cell>
          <cell r="C43" t="str">
            <v>Cálculo Binomio</v>
          </cell>
          <cell r="D43" t="str">
            <v>Fornecimento de asfalto diluído CM 30 (BR-101-RJ)</v>
          </cell>
          <cell r="E43" t="str">
            <v>t</v>
          </cell>
          <cell r="F43">
            <v>0</v>
          </cell>
          <cell r="G43">
            <v>0</v>
          </cell>
          <cell r="H43">
            <v>0</v>
          </cell>
          <cell r="I43">
            <v>0</v>
          </cell>
          <cell r="J43">
            <v>5781.5932143316422</v>
          </cell>
          <cell r="K43">
            <v>5781.5932143316422</v>
          </cell>
          <cell r="L43">
            <v>5781.5932143316422</v>
          </cell>
          <cell r="W43" t="str">
            <v>E9524</v>
          </cell>
          <cell r="X43" t="str">
            <v>Motoniveladora - 93 kW</v>
          </cell>
          <cell r="Y43" t="str">
            <v>h</v>
          </cell>
          <cell r="Z43">
            <v>180.02539999999999</v>
          </cell>
          <cell r="AA43">
            <v>82.484499999999997</v>
          </cell>
          <cell r="BC43" t="str">
            <v>E9524</v>
          </cell>
          <cell r="BD43" t="str">
            <v>Motoniveladora - 93 kW</v>
          </cell>
          <cell r="BE43" t="str">
            <v>h</v>
          </cell>
          <cell r="BF43">
            <v>177.46729999999999</v>
          </cell>
          <cell r="BG43">
            <v>80.883899999999997</v>
          </cell>
          <cell r="CC43">
            <v>0</v>
          </cell>
          <cell r="CD43" t="str">
            <v>Pintura de faixa - tinta base acrílica - espessura de 0,6 mm</v>
          </cell>
          <cell r="CE43" t="str">
            <v>m²</v>
          </cell>
          <cell r="CF43" t="str">
            <v>2 faixas cont. + 1 faixa não cont.</v>
          </cell>
          <cell r="CG43">
            <v>4.4871794871794872E-2</v>
          </cell>
          <cell r="CH43">
            <v>1</v>
          </cell>
          <cell r="CI43">
            <v>5213401</v>
          </cell>
          <cell r="CJ43">
            <v>20.390807290896916</v>
          </cell>
          <cell r="CK43">
            <v>1.2018158822830236</v>
          </cell>
          <cell r="CL43">
            <v>5213401</v>
          </cell>
          <cell r="CM43">
            <v>22.71825438768407</v>
          </cell>
          <cell r="CN43">
            <v>1.3389935254330845</v>
          </cell>
          <cell r="DN43" t="str">
            <v>Assistente de Comunicação</v>
          </cell>
          <cell r="DO43">
            <v>9123.6</v>
          </cell>
          <cell r="DP43">
            <v>11626.54</v>
          </cell>
          <cell r="DQ43">
            <v>1.0335248790636142</v>
          </cell>
          <cell r="DR43">
            <v>9429.4675866247908</v>
          </cell>
          <cell r="DS43">
            <v>7951.6846844737547</v>
          </cell>
        </row>
        <row r="44">
          <cell r="B44" t="str">
            <v>CPU04</v>
          </cell>
          <cell r="C44" t="str">
            <v>Cálculo Binomio</v>
          </cell>
          <cell r="D44" t="str">
            <v>Fornecimento de emulsão RR-1C (BR-116-SP)</v>
          </cell>
          <cell r="E44" t="str">
            <v>t</v>
          </cell>
          <cell r="F44">
            <v>2511.8507594331254</v>
          </cell>
          <cell r="G44">
            <v>2511.8507594331254</v>
          </cell>
          <cell r="H44">
            <v>2511.8507594331254</v>
          </cell>
          <cell r="I44">
            <v>0</v>
          </cell>
          <cell r="J44">
            <v>0</v>
          </cell>
          <cell r="K44">
            <v>0</v>
          </cell>
          <cell r="L44">
            <v>0</v>
          </cell>
          <cell r="W44" t="str">
            <v>E9685</v>
          </cell>
          <cell r="X44" t="str">
            <v>Rolo compactador pé de carneiro vibratório autopropelido de 11,6 t - 82 kW</v>
          </cell>
          <cell r="Y44" t="str">
            <v>h</v>
          </cell>
          <cell r="Z44">
            <v>121.29559999999999</v>
          </cell>
          <cell r="AA44">
            <v>57.656399999999998</v>
          </cell>
          <cell r="BC44" t="str">
            <v>E9685</v>
          </cell>
          <cell r="BD44" t="str">
            <v>Rolo compactador pé de carneiro vibratório autopropelido de 11,6 t - 82 kW</v>
          </cell>
          <cell r="BE44" t="str">
            <v>h</v>
          </cell>
          <cell r="BF44">
            <v>118.99209999999999</v>
          </cell>
          <cell r="BG44">
            <v>56.128999999999998</v>
          </cell>
          <cell r="CC44">
            <v>0</v>
          </cell>
          <cell r="CD44" t="str">
            <v>Tacha refletiva monodirecional - fornecimento e colocação</v>
          </cell>
          <cell r="CE44" t="str">
            <v>un</v>
          </cell>
          <cell r="CF44" t="str">
            <v>3 / 16m / 7,8m largura</v>
          </cell>
          <cell r="CG44">
            <v>2.403846153846154E-2</v>
          </cell>
          <cell r="CH44">
            <v>1</v>
          </cell>
          <cell r="CI44">
            <v>5213359</v>
          </cell>
          <cell r="CJ44">
            <v>12.189996472111552</v>
          </cell>
          <cell r="CK44">
            <v>0.38489327803169532</v>
          </cell>
          <cell r="CL44">
            <v>5213359</v>
          </cell>
          <cell r="CM44">
            <v>14.739324009960159</v>
          </cell>
          <cell r="CN44">
            <v>0.46538706940102564</v>
          </cell>
          <cell r="DN44" t="str">
            <v>Atendente de 0800</v>
          </cell>
          <cell r="DO44">
            <v>1208.1199999999999</v>
          </cell>
          <cell r="DP44">
            <v>1347.24</v>
          </cell>
          <cell r="DQ44">
            <v>1.0335248790636142</v>
          </cell>
          <cell r="DR44">
            <v>1248.6220768943335</v>
          </cell>
          <cell r="DS44">
            <v>1782.5090855860169</v>
          </cell>
        </row>
        <row r="45">
          <cell r="B45" t="str">
            <v>CPU04-1</v>
          </cell>
          <cell r="C45" t="str">
            <v>Cálculo Binomio</v>
          </cell>
          <cell r="D45" t="str">
            <v>Fornecimento de emulsão RR-1C (BR-116-RJ)</v>
          </cell>
          <cell r="E45" t="str">
            <v>t</v>
          </cell>
          <cell r="F45">
            <v>0</v>
          </cell>
          <cell r="G45">
            <v>0</v>
          </cell>
          <cell r="H45">
            <v>0</v>
          </cell>
          <cell r="I45">
            <v>0</v>
          </cell>
          <cell r="J45">
            <v>2535.6603093736671</v>
          </cell>
          <cell r="K45">
            <v>2535.6603093736671</v>
          </cell>
          <cell r="L45">
            <v>2535.6603093736671</v>
          </cell>
          <cell r="W45" t="str">
            <v>E9577</v>
          </cell>
          <cell r="X45" t="str">
            <v>Trator agrícola - 77 kW</v>
          </cell>
          <cell r="Y45" t="str">
            <v>h</v>
          </cell>
          <cell r="Z45">
            <v>87.165099999999995</v>
          </cell>
          <cell r="AA45">
            <v>39.392600000000002</v>
          </cell>
          <cell r="BC45" t="str">
            <v>E9577</v>
          </cell>
          <cell r="BD45" t="str">
            <v>Trator agrícola - 77 kW</v>
          </cell>
          <cell r="BE45" t="str">
            <v>h</v>
          </cell>
          <cell r="BF45">
            <v>79.734499999999997</v>
          </cell>
          <cell r="BG45">
            <v>32.6922</v>
          </cell>
          <cell r="CC45">
            <v>0</v>
          </cell>
          <cell r="CD45" t="str">
            <v>Tacha refletiva metálica com dois pinos - bidirecional - fornecimento e colocação</v>
          </cell>
          <cell r="CE45" t="str">
            <v>un</v>
          </cell>
          <cell r="CF45" t="str">
            <v>não aplicada</v>
          </cell>
          <cell r="CG45">
            <v>0</v>
          </cell>
          <cell r="CH45">
            <v>1</v>
          </cell>
          <cell r="CI45">
            <v>5213395</v>
          </cell>
          <cell r="CJ45">
            <v>32.534966247709477</v>
          </cell>
          <cell r="CK45">
            <v>0</v>
          </cell>
          <cell r="CL45">
            <v>5213395</v>
          </cell>
          <cell r="CM45">
            <v>34.530034902548728</v>
          </cell>
          <cell r="CN45">
            <v>0</v>
          </cell>
          <cell r="DN45" t="str">
            <v>Gerente Comunicação e Marketing</v>
          </cell>
          <cell r="DO45">
            <v>17511.59</v>
          </cell>
          <cell r="DP45">
            <v>20625.07</v>
          </cell>
          <cell r="DQ45">
            <v>1.0335248790636142</v>
          </cell>
          <cell r="DR45">
            <v>18098.663936961595</v>
          </cell>
          <cell r="DS45">
            <v>14489.125652262739</v>
          </cell>
        </row>
        <row r="46">
          <cell r="B46" t="str">
            <v>CPU04-2</v>
          </cell>
          <cell r="C46" t="str">
            <v>Cálculo Binomio</v>
          </cell>
          <cell r="D46" t="str">
            <v>Fornecimento de emulsão RR-1C (BR-101-SP)</v>
          </cell>
          <cell r="E46" t="str">
            <v>t</v>
          </cell>
          <cell r="F46">
            <v>2527.225781309724</v>
          </cell>
          <cell r="G46">
            <v>2527.225781309724</v>
          </cell>
          <cell r="H46">
            <v>2527.225781309724</v>
          </cell>
          <cell r="I46">
            <v>0</v>
          </cell>
          <cell r="J46">
            <v>0</v>
          </cell>
          <cell r="K46">
            <v>0</v>
          </cell>
          <cell r="L46">
            <v>0</v>
          </cell>
          <cell r="W46">
            <v>4413905</v>
          </cell>
          <cell r="X46" t="str">
            <v xml:space="preserve">Hidrossemeadura </v>
          </cell>
          <cell r="Y46" t="str">
            <v>m²</v>
          </cell>
          <cell r="Z46">
            <v>2.91</v>
          </cell>
          <cell r="AA46">
            <v>0</v>
          </cell>
          <cell r="BC46">
            <v>4413905</v>
          </cell>
          <cell r="BD46" t="str">
            <v xml:space="preserve">Hidrossemeadura </v>
          </cell>
          <cell r="BE46" t="str">
            <v>m²</v>
          </cell>
          <cell r="BF46">
            <v>2.97</v>
          </cell>
          <cell r="BG46">
            <v>0</v>
          </cell>
          <cell r="CC46" t="str">
            <v>TB</v>
          </cell>
          <cell r="CD46" t="str">
            <v>Tapa Buraco</v>
          </cell>
          <cell r="CE46">
            <v>0</v>
          </cell>
          <cell r="CF46">
            <v>0</v>
          </cell>
          <cell r="CG46">
            <v>0</v>
          </cell>
          <cell r="CH46">
            <v>0</v>
          </cell>
          <cell r="CI46">
            <v>0</v>
          </cell>
          <cell r="CJ46">
            <v>0</v>
          </cell>
          <cell r="CK46">
            <v>68.770395492826978</v>
          </cell>
          <cell r="CL46">
            <v>0</v>
          </cell>
          <cell r="CM46">
            <v>0</v>
          </cell>
          <cell r="CN46">
            <v>69.810077323167263</v>
          </cell>
          <cell r="DN46" t="str">
            <v>Assessoria de Gestão de Controle da Qualidade</v>
          </cell>
          <cell r="DO46">
            <v>0</v>
          </cell>
          <cell r="DP46">
            <v>0</v>
          </cell>
          <cell r="DQ46">
            <v>0</v>
          </cell>
          <cell r="DR46">
            <v>0</v>
          </cell>
          <cell r="DS46">
            <v>0</v>
          </cell>
        </row>
        <row r="47">
          <cell r="B47" t="str">
            <v>CPU04-3</v>
          </cell>
          <cell r="C47" t="str">
            <v>Cálculo Binomio</v>
          </cell>
          <cell r="D47" t="str">
            <v>Fornecimento de emulsão RR-1C (BR-101-RJ)</v>
          </cell>
          <cell r="E47" t="str">
            <v>t</v>
          </cell>
          <cell r="F47">
            <v>0</v>
          </cell>
          <cell r="G47">
            <v>0</v>
          </cell>
          <cell r="H47">
            <v>0</v>
          </cell>
          <cell r="I47">
            <v>0</v>
          </cell>
          <cell r="J47">
            <v>2552.2324768885719</v>
          </cell>
          <cell r="K47">
            <v>2552.2324768885719</v>
          </cell>
          <cell r="L47">
            <v>2552.2324768885719</v>
          </cell>
          <cell r="W47" t="str">
            <v>E9667</v>
          </cell>
          <cell r="X47" t="str">
            <v>Caminhão basculante com capacidade de 14 m³ - 323 kW</v>
          </cell>
          <cell r="Y47" t="str">
            <v>h</v>
          </cell>
          <cell r="Z47">
            <v>173.809</v>
          </cell>
          <cell r="AA47">
            <v>54.1126</v>
          </cell>
          <cell r="BC47" t="str">
            <v>E9667</v>
          </cell>
          <cell r="BD47" t="str">
            <v>Caminhão basculante com capacidade de 14 m³ - 323 kW</v>
          </cell>
          <cell r="BE47" t="str">
            <v>h</v>
          </cell>
          <cell r="BF47">
            <v>173.1283</v>
          </cell>
          <cell r="BG47">
            <v>55.074599999999997</v>
          </cell>
          <cell r="CC47" t="str">
            <v>(m²)</v>
          </cell>
          <cell r="CD47" t="str">
            <v>Concreto asfáltico com asfalto polímero - faixa C - areia e brita comerciais</v>
          </cell>
          <cell r="CE47" t="str">
            <v>t</v>
          </cell>
          <cell r="CF47" t="str">
            <v>0,12t/m²</v>
          </cell>
          <cell r="CG47">
            <v>0.12</v>
          </cell>
          <cell r="CH47">
            <v>1</v>
          </cell>
          <cell r="CI47">
            <v>4011466</v>
          </cell>
          <cell r="CJ47">
            <v>130.81939260452867</v>
          </cell>
          <cell r="CK47">
            <v>20.619752662325809</v>
          </cell>
          <cell r="CL47">
            <v>4011466</v>
          </cell>
          <cell r="CM47">
            <v>135.10461380032868</v>
          </cell>
          <cell r="CN47">
            <v>21.295189227207803</v>
          </cell>
          <cell r="DN47" t="str">
            <v>Gestor da Qualidade</v>
          </cell>
          <cell r="DO47">
            <v>18736.740000000002</v>
          </cell>
          <cell r="DP47">
            <v>21179.22</v>
          </cell>
          <cell r="DQ47">
            <v>1.0335248790636142</v>
          </cell>
          <cell r="DR47">
            <v>19364.886942546385</v>
          </cell>
          <cell r="DS47">
            <v>15443.98442077423</v>
          </cell>
        </row>
        <row r="48">
          <cell r="B48" t="str">
            <v>CPU05</v>
          </cell>
          <cell r="C48" t="str">
            <v>Cálculo Binomio</v>
          </cell>
          <cell r="D48" t="str">
            <v>Fornecimento de emulsão RR-2C (BR-116-SP)</v>
          </cell>
          <cell r="E48" t="str">
            <v>t</v>
          </cell>
          <cell r="F48">
            <v>2898.8142866753115</v>
          </cell>
          <cell r="G48">
            <v>2898.8142866753115</v>
          </cell>
          <cell r="H48">
            <v>2898.8142866753115</v>
          </cell>
          <cell r="I48">
            <v>0</v>
          </cell>
          <cell r="J48">
            <v>0</v>
          </cell>
          <cell r="K48">
            <v>0</v>
          </cell>
          <cell r="L48">
            <v>0</v>
          </cell>
          <cell r="W48" t="str">
            <v>E9511</v>
          </cell>
          <cell r="X48" t="str">
            <v>Carregadeira de pneus com capacidade de 3,3 m³ - 213 kW</v>
          </cell>
          <cell r="Y48" t="str">
            <v>h</v>
          </cell>
          <cell r="Z48">
            <v>319.87740000000002</v>
          </cell>
          <cell r="AA48">
            <v>130.5778</v>
          </cell>
          <cell r="BC48" t="str">
            <v>E9511</v>
          </cell>
          <cell r="BD48" t="str">
            <v>Carregadeira de pneus com capacidade de 3,3 m³ - 213 kW</v>
          </cell>
          <cell r="BE48" t="str">
            <v>h</v>
          </cell>
          <cell r="BF48">
            <v>316.2482</v>
          </cell>
          <cell r="BG48">
            <v>128.91640000000001</v>
          </cell>
          <cell r="CC48">
            <v>0</v>
          </cell>
          <cell r="CD48" t="str">
            <v>Fornecimento de CAP 50/70</v>
          </cell>
          <cell r="CE48" t="str">
            <v>t</v>
          </cell>
          <cell r="CF48">
            <v>0</v>
          </cell>
          <cell r="CG48">
            <v>6.9278399999999993E-3</v>
          </cell>
          <cell r="CH48">
            <v>1</v>
          </cell>
          <cell r="CI48" t="str">
            <v>CPU01</v>
          </cell>
          <cell r="CJ48">
            <v>3571.7922525333884</v>
          </cell>
          <cell r="CK48">
            <v>24.744805238790907</v>
          </cell>
          <cell r="CL48" t="str">
            <v>CPU01-1</v>
          </cell>
          <cell r="CM48">
            <v>3582.3359691513733</v>
          </cell>
          <cell r="CN48">
            <v>24.817850420525648</v>
          </cell>
          <cell r="DN48" t="str">
            <v>Assistente da Qualidade</v>
          </cell>
          <cell r="DO48">
            <v>1711.99</v>
          </cell>
          <cell r="DP48">
            <v>2236.69</v>
          </cell>
          <cell r="DQ48">
            <v>1.0335248790636142</v>
          </cell>
          <cell r="DR48">
            <v>1769.384257708117</v>
          </cell>
          <cell r="DS48">
            <v>2175.2158461376912</v>
          </cell>
        </row>
        <row r="49">
          <cell r="B49" t="str">
            <v>CPU05-1</v>
          </cell>
          <cell r="C49" t="str">
            <v>Cálculo Binomio</v>
          </cell>
          <cell r="D49" t="str">
            <v>Fornecimento de emulsão RR-2C  (BR-116-RJ)</v>
          </cell>
          <cell r="E49" t="str">
            <v>t</v>
          </cell>
          <cell r="F49">
            <v>0</v>
          </cell>
          <cell r="G49">
            <v>0</v>
          </cell>
          <cell r="H49">
            <v>0</v>
          </cell>
          <cell r="I49">
            <v>0</v>
          </cell>
          <cell r="J49">
            <v>2945.8285318175522</v>
          </cell>
          <cell r="K49">
            <v>2945.8285318175522</v>
          </cell>
          <cell r="L49">
            <v>2945.8285318175522</v>
          </cell>
          <cell r="W49" t="str">
            <v>E9515</v>
          </cell>
          <cell r="X49" t="str">
            <v>Escavadeira hidráulica sobre esteira com caçamba com capacidade de 1,5 m³ - 110 kW</v>
          </cell>
          <cell r="Y49" t="str">
            <v>h</v>
          </cell>
          <cell r="Z49">
            <v>209.52099999999999</v>
          </cell>
          <cell r="AA49">
            <v>98.700800000000001</v>
          </cell>
          <cell r="BC49" t="str">
            <v>E9515</v>
          </cell>
          <cell r="BD49" t="str">
            <v>Escavadeira hidráulica sobre esteira com caçamba com capacidade de 1,5 m³ - 110 kW</v>
          </cell>
          <cell r="BE49" t="str">
            <v>h</v>
          </cell>
          <cell r="BF49">
            <v>206.67660000000001</v>
          </cell>
          <cell r="BG49">
            <v>97.001499999999993</v>
          </cell>
          <cell r="CC49">
            <v>0</v>
          </cell>
          <cell r="CD49" t="str">
            <v>Pintura de ligação</v>
          </cell>
          <cell r="CE49" t="str">
            <v>m²</v>
          </cell>
          <cell r="CF49">
            <v>1</v>
          </cell>
          <cell r="CG49">
            <v>1</v>
          </cell>
          <cell r="CH49">
            <v>1</v>
          </cell>
          <cell r="CI49">
            <v>4011353</v>
          </cell>
          <cell r="CJ49">
            <v>0.18392808219669335</v>
          </cell>
          <cell r="CK49">
            <v>0.24158953596535671</v>
          </cell>
          <cell r="CL49">
            <v>4011353</v>
          </cell>
          <cell r="CM49">
            <v>0.18912484066666665</v>
          </cell>
          <cell r="CN49">
            <v>0.24841547821566662</v>
          </cell>
          <cell r="DN49" t="str">
            <v>Assessoria de Administração do Contrato de Concessão</v>
          </cell>
          <cell r="DO49">
            <v>0</v>
          </cell>
          <cell r="DP49">
            <v>0</v>
          </cell>
          <cell r="DQ49">
            <v>0</v>
          </cell>
          <cell r="DR49">
            <v>0</v>
          </cell>
          <cell r="DS49">
            <v>0</v>
          </cell>
        </row>
        <row r="50">
          <cell r="B50" t="str">
            <v>CPU05-2</v>
          </cell>
          <cell r="C50" t="str">
            <v>Cálculo Binomio</v>
          </cell>
          <cell r="D50" t="str">
            <v>Fornecimento de emulsão RR-2C (BR-101-SP)</v>
          </cell>
          <cell r="E50" t="str">
            <v>t</v>
          </cell>
          <cell r="F50">
            <v>2914.18930855191</v>
          </cell>
          <cell r="G50">
            <v>2914.18930855191</v>
          </cell>
          <cell r="H50">
            <v>2914.18930855191</v>
          </cell>
          <cell r="I50">
            <v>0</v>
          </cell>
          <cell r="J50">
            <v>0</v>
          </cell>
          <cell r="K50">
            <v>0</v>
          </cell>
          <cell r="L50">
            <v>0</v>
          </cell>
          <cell r="W50" t="str">
            <v>E9565</v>
          </cell>
          <cell r="X50" t="str">
            <v>Trator de esteiras com escarificador - 259 kW</v>
          </cell>
          <cell r="Y50" t="str">
            <v>h</v>
          </cell>
          <cell r="Z50">
            <v>427.29579999999999</v>
          </cell>
          <cell r="AA50">
            <v>162.21039999999999</v>
          </cell>
          <cell r="BC50" t="str">
            <v>E9565</v>
          </cell>
          <cell r="BD50" t="str">
            <v>Trator de esteiras com escarificador - 259 kW</v>
          </cell>
          <cell r="BE50" t="str">
            <v>h</v>
          </cell>
          <cell r="BF50">
            <v>423.42259999999999</v>
          </cell>
          <cell r="BG50">
            <v>160.6437</v>
          </cell>
          <cell r="CC50">
            <v>0</v>
          </cell>
          <cell r="CD50" t="str">
            <v>Fornecimento de emulsão RR-1C</v>
          </cell>
          <cell r="CE50" t="str">
            <v>t</v>
          </cell>
          <cell r="CF50" t="str">
            <v>0,00045 t</v>
          </cell>
          <cell r="CG50">
            <v>4.4999999999999999E-4</v>
          </cell>
          <cell r="CH50">
            <v>1</v>
          </cell>
          <cell r="CI50" t="str">
            <v>CPU04</v>
          </cell>
          <cell r="CJ50">
            <v>2511.8507594331254</v>
          </cell>
          <cell r="CK50">
            <v>1.1303328417449063</v>
          </cell>
          <cell r="CL50" t="str">
            <v>CPU04-1</v>
          </cell>
          <cell r="CM50">
            <v>2535.6603093736671</v>
          </cell>
          <cell r="CN50">
            <v>1.1410471392181503</v>
          </cell>
          <cell r="DN50" t="str">
            <v>Gestor de Contrato</v>
          </cell>
          <cell r="DO50">
            <v>18605.759999999998</v>
          </cell>
          <cell r="DP50">
            <v>21748.63</v>
          </cell>
          <cell r="DQ50">
            <v>1.0335248790636142</v>
          </cell>
          <cell r="DR50">
            <v>19229.515853886631</v>
          </cell>
          <cell r="DS50">
            <v>15341.901082815908</v>
          </cell>
        </row>
        <row r="51">
          <cell r="B51" t="str">
            <v>CPU05-3</v>
          </cell>
          <cell r="C51" t="str">
            <v>Cálculo Binomio</v>
          </cell>
          <cell r="D51" t="str">
            <v>Fornecimento de emulsão RR-2C (BR-101-RJ)</v>
          </cell>
          <cell r="E51" t="str">
            <v>t</v>
          </cell>
          <cell r="F51">
            <v>0</v>
          </cell>
          <cell r="G51">
            <v>0</v>
          </cell>
          <cell r="H51">
            <v>0</v>
          </cell>
          <cell r="I51">
            <v>0</v>
          </cell>
          <cell r="J51">
            <v>2962.400699332457</v>
          </cell>
          <cell r="K51">
            <v>2962.400699332457</v>
          </cell>
          <cell r="L51">
            <v>2962.400699332457</v>
          </cell>
          <cell r="W51" t="str">
            <v>E9672</v>
          </cell>
          <cell r="X51" t="str">
            <v>Caminhão basculante para rocha com capacidade de 12 m³ - 323 kW</v>
          </cell>
          <cell r="Y51" t="str">
            <v>h</v>
          </cell>
          <cell r="Z51">
            <v>181.7988</v>
          </cell>
          <cell r="AA51">
            <v>58.295699999999997</v>
          </cell>
          <cell r="BC51" t="str">
            <v>E9672</v>
          </cell>
          <cell r="BD51" t="str">
            <v>Caminhão basculante para rocha com capacidade de 12 m³ - 323 kW</v>
          </cell>
          <cell r="BE51" t="str">
            <v>h</v>
          </cell>
          <cell r="BF51">
            <v>181.1181</v>
          </cell>
          <cell r="BG51">
            <v>59.2577</v>
          </cell>
          <cell r="CC51">
            <v>0</v>
          </cell>
          <cell r="CD51" t="str">
            <v>Corte de concreto com disco diamantado até profundidade de 13cm</v>
          </cell>
          <cell r="CE51" t="str">
            <v>m²</v>
          </cell>
          <cell r="CF51" t="str">
            <v>0,2 m³/m²</v>
          </cell>
          <cell r="CG51">
            <v>0.2</v>
          </cell>
          <cell r="CH51">
            <v>1</v>
          </cell>
          <cell r="CI51" t="str">
            <v>INFRA-102100</v>
          </cell>
          <cell r="CJ51">
            <v>83.87482</v>
          </cell>
          <cell r="CK51">
            <v>22.033915214</v>
          </cell>
          <cell r="CL51" t="str">
            <v>INFRA-102100</v>
          </cell>
          <cell r="CM51">
            <v>84.916539999999998</v>
          </cell>
          <cell r="CN51">
            <v>22.307575057999998</v>
          </cell>
          <cell r="DN51" t="str">
            <v>Assistente de Administração</v>
          </cell>
          <cell r="DO51">
            <v>1711.99</v>
          </cell>
          <cell r="DP51">
            <v>2236.69</v>
          </cell>
          <cell r="DQ51">
            <v>1.0335248790636142</v>
          </cell>
          <cell r="DR51">
            <v>1769.384257708117</v>
          </cell>
          <cell r="DS51">
            <v>2175.2158461376912</v>
          </cell>
        </row>
        <row r="52">
          <cell r="B52" t="str">
            <v>CPU10</v>
          </cell>
          <cell r="C52" t="str">
            <v>Cálculo Binomio</v>
          </cell>
          <cell r="D52" t="str">
            <v>Fornecimento de Material Betuminoso c/ polímero SBS (BR-116-SP)</v>
          </cell>
          <cell r="E52" t="str">
            <v>t</v>
          </cell>
          <cell r="F52">
            <v>4481.4349761078774</v>
          </cell>
          <cell r="G52">
            <v>4481.4349761078774</v>
          </cell>
          <cell r="H52">
            <v>4481.4349761078774</v>
          </cell>
          <cell r="I52">
            <v>0</v>
          </cell>
          <cell r="J52">
            <v>0</v>
          </cell>
          <cell r="K52">
            <v>0</v>
          </cell>
          <cell r="L52">
            <v>0</v>
          </cell>
          <cell r="W52" t="str">
            <v>E9117</v>
          </cell>
          <cell r="X52" t="str">
            <v>Carregadeira de pneus para rocha com capacidade de 2,9 m³ - 96 kW</v>
          </cell>
          <cell r="Y52" t="str">
            <v>h</v>
          </cell>
          <cell r="Z52">
            <v>186.00380000000001</v>
          </cell>
          <cell r="AA52">
            <v>88.250200000000007</v>
          </cell>
          <cell r="BC52" t="str">
            <v>E9117</v>
          </cell>
          <cell r="BD52" t="str">
            <v>Carregadeira de pneus para rocha com capacidade de 2,9 m³ - 96 kW</v>
          </cell>
          <cell r="BE52" t="str">
            <v>h</v>
          </cell>
          <cell r="BF52">
            <v>183.59100000000001</v>
          </cell>
          <cell r="BG52">
            <v>86.729500000000002</v>
          </cell>
          <cell r="CC52" t="str">
            <v>PMF</v>
          </cell>
          <cell r="CD52" t="str">
            <v>PRÉ-MISTURADO A FRIO</v>
          </cell>
          <cell r="CE52">
            <v>0</v>
          </cell>
          <cell r="CF52">
            <v>0</v>
          </cell>
          <cell r="CG52">
            <v>0</v>
          </cell>
          <cell r="CH52">
            <v>0</v>
          </cell>
          <cell r="CI52">
            <v>0</v>
          </cell>
          <cell r="CJ52">
            <v>0</v>
          </cell>
          <cell r="CK52">
            <v>30.356995493144531</v>
          </cell>
          <cell r="CL52">
            <v>0</v>
          </cell>
          <cell r="CM52">
            <v>0</v>
          </cell>
          <cell r="CN52">
            <v>30.94336941252978</v>
          </cell>
          <cell r="DN52" t="str">
            <v>Assessoria Jurídica</v>
          </cell>
          <cell r="DO52">
            <v>0</v>
          </cell>
          <cell r="DP52">
            <v>0</v>
          </cell>
          <cell r="DQ52">
            <v>0</v>
          </cell>
          <cell r="DR52">
            <v>0</v>
          </cell>
          <cell r="DS52">
            <v>0</v>
          </cell>
        </row>
        <row r="53">
          <cell r="B53" t="str">
            <v>CPU10-1</v>
          </cell>
          <cell r="C53" t="str">
            <v>Cálculo Binomio</v>
          </cell>
          <cell r="D53" t="str">
            <v>Fornecimento de Material Betuminoso c/ polímero SBS (BR-116-RJ)</v>
          </cell>
          <cell r="E53" t="str">
            <v>t</v>
          </cell>
          <cell r="F53">
            <v>0</v>
          </cell>
          <cell r="G53">
            <v>0</v>
          </cell>
          <cell r="H53">
            <v>0</v>
          </cell>
          <cell r="I53">
            <v>0</v>
          </cell>
          <cell r="J53">
            <v>4614.4401264709131</v>
          </cell>
          <cell r="K53">
            <v>4614.4401264709131</v>
          </cell>
          <cell r="L53">
            <v>4614.4401264709131</v>
          </cell>
          <cell r="W53" t="str">
            <v>E9649</v>
          </cell>
          <cell r="X53" t="str">
            <v>Compressor de ar portátil de 197 PCM - 55 kW</v>
          </cell>
          <cell r="Y53" t="str">
            <v>h</v>
          </cell>
          <cell r="Z53">
            <v>49.511400000000002</v>
          </cell>
          <cell r="AA53">
            <v>11.799099999999999</v>
          </cell>
          <cell r="BC53" t="str">
            <v>E9649</v>
          </cell>
          <cell r="BD53" t="str">
            <v>Compressor de ar portátil de 197 PCM - 55 kW</v>
          </cell>
          <cell r="BE53" t="str">
            <v>h</v>
          </cell>
          <cell r="BF53">
            <v>24.325399999999998</v>
          </cell>
          <cell r="BG53">
            <v>5.9280999999999997</v>
          </cell>
          <cell r="CC53" t="str">
            <v>(m²)</v>
          </cell>
          <cell r="CD53" t="str">
            <v>Pré-misturado a frio - faixa C - areia extraída, brita produzida</v>
          </cell>
          <cell r="CE53" t="str">
            <v>m³</v>
          </cell>
          <cell r="CF53" t="str">
            <v>h=4cm</v>
          </cell>
          <cell r="CG53">
            <v>0.04</v>
          </cell>
          <cell r="CH53">
            <v>1</v>
          </cell>
          <cell r="CI53">
            <v>4011421</v>
          </cell>
          <cell r="CJ53">
            <v>165.41727940504575</v>
          </cell>
          <cell r="CK53">
            <v>8.6910238599411027</v>
          </cell>
          <cell r="CL53">
            <v>4011421</v>
          </cell>
          <cell r="CM53">
            <v>168.72594859232254</v>
          </cell>
          <cell r="CN53">
            <v>8.8648613390406261</v>
          </cell>
          <cell r="DN53" t="str">
            <v>Assessor Jurídico</v>
          </cell>
          <cell r="DO53">
            <v>13165.74</v>
          </cell>
          <cell r="DP53">
            <v>15050.85</v>
          </cell>
          <cell r="DQ53">
            <v>1.0335248790636142</v>
          </cell>
          <cell r="DR53">
            <v>13607.119841282989</v>
          </cell>
          <cell r="DS53">
            <v>11102.052249711502</v>
          </cell>
        </row>
        <row r="54">
          <cell r="B54" t="str">
            <v>CPU10-2</v>
          </cell>
          <cell r="C54" t="str">
            <v>Cálculo Binomio</v>
          </cell>
          <cell r="D54" t="str">
            <v>Fornecimento de Material Betuminoso c/ polímero SBS (BR-101-SP)</v>
          </cell>
          <cell r="E54" t="str">
            <v>t</v>
          </cell>
          <cell r="F54">
            <v>4496.8099979844756</v>
          </cell>
          <cell r="G54">
            <v>4496.8099979844756</v>
          </cell>
          <cell r="H54">
            <v>4496.8099979844756</v>
          </cell>
          <cell r="I54">
            <v>0</v>
          </cell>
          <cell r="J54">
            <v>0</v>
          </cell>
          <cell r="K54">
            <v>0</v>
          </cell>
          <cell r="L54">
            <v>0</v>
          </cell>
          <cell r="W54" t="str">
            <v>E9527</v>
          </cell>
          <cell r="X54" t="str">
            <v>Martelete perfurador/rompedor a ar comprimido de 25 kg</v>
          </cell>
          <cell r="Y54" t="str">
            <v>h</v>
          </cell>
          <cell r="Z54">
            <v>30.533300000000001</v>
          </cell>
          <cell r="AA54">
            <v>29.288699999999999</v>
          </cell>
          <cell r="BC54" t="str">
            <v>E9527</v>
          </cell>
          <cell r="BD54" t="str">
            <v>Martelete perfurador/rompedor a ar comprimido de 25 kg</v>
          </cell>
          <cell r="BE54" t="str">
            <v>h</v>
          </cell>
          <cell r="BF54">
            <v>23.936900000000001</v>
          </cell>
          <cell r="BG54">
            <v>22.7056</v>
          </cell>
          <cell r="CC54">
            <v>0</v>
          </cell>
          <cell r="CD54" t="str">
            <v>Fornecimento de emulsão RR-1C</v>
          </cell>
          <cell r="CE54" t="str">
            <v>t</v>
          </cell>
          <cell r="CF54" t="str">
            <v>0,1867908 t</v>
          </cell>
          <cell r="CG54">
            <v>7.447632E-3</v>
          </cell>
          <cell r="CH54">
            <v>1</v>
          </cell>
          <cell r="CI54" t="str">
            <v>CPU04</v>
          </cell>
          <cell r="CJ54">
            <v>2511.8507594331254</v>
          </cell>
          <cell r="CK54">
            <v>18.707340095178445</v>
          </cell>
          <cell r="CL54" t="str">
            <v>CPU04-1</v>
          </cell>
          <cell r="CM54">
            <v>2535.6603093736671</v>
          </cell>
          <cell r="CN54">
            <v>18.884664861221225</v>
          </cell>
          <cell r="DN54" t="str">
            <v>Assistente Jurídico</v>
          </cell>
          <cell r="DO54">
            <v>2572.5500000000002</v>
          </cell>
          <cell r="DP54">
            <v>3073.08</v>
          </cell>
          <cell r="DQ54">
            <v>1.0335248790636142</v>
          </cell>
          <cell r="DR54">
            <v>2658.7944276351009</v>
          </cell>
          <cell r="DS54">
            <v>2845.9200552796292</v>
          </cell>
        </row>
        <row r="55">
          <cell r="B55" t="str">
            <v>CPU10-3</v>
          </cell>
          <cell r="C55" t="str">
            <v>Cálculo Binomio</v>
          </cell>
          <cell r="D55" t="str">
            <v>Fornecimento de Material Betuminoso c/ polímero SBS (BR-101-RJ)</v>
          </cell>
          <cell r="E55" t="str">
            <v>t</v>
          </cell>
          <cell r="F55">
            <v>0</v>
          </cell>
          <cell r="G55">
            <v>0</v>
          </cell>
          <cell r="H55">
            <v>0</v>
          </cell>
          <cell r="I55">
            <v>0</v>
          </cell>
          <cell r="J55">
            <v>4631.0122939858175</v>
          </cell>
          <cell r="K55">
            <v>4631.0122939858175</v>
          </cell>
          <cell r="L55">
            <v>4631.0122939858175</v>
          </cell>
          <cell r="W55" t="str">
            <v>E9574</v>
          </cell>
          <cell r="X55" t="str">
            <v>Perfuratriz sobre esteiras - 145 kW</v>
          </cell>
          <cell r="Y55" t="str">
            <v>h</v>
          </cell>
          <cell r="Z55">
            <v>371.89920000000001</v>
          </cell>
          <cell r="AA55">
            <v>179.3648</v>
          </cell>
          <cell r="BC55" t="str">
            <v>E9574</v>
          </cell>
          <cell r="BD55" t="str">
            <v>Perfuratriz sobre esteiras - 145 kW</v>
          </cell>
          <cell r="BE55" t="str">
            <v>h</v>
          </cell>
          <cell r="BF55">
            <v>369.14729999999997</v>
          </cell>
          <cell r="BG55">
            <v>177.8783</v>
          </cell>
          <cell r="CC55">
            <v>0</v>
          </cell>
          <cell r="CD55" t="str">
            <v>Pintura de ligação</v>
          </cell>
          <cell r="CE55" t="str">
            <v>m²</v>
          </cell>
          <cell r="CF55">
            <v>1</v>
          </cell>
          <cell r="CG55">
            <v>1</v>
          </cell>
          <cell r="CH55">
            <v>1</v>
          </cell>
          <cell r="CI55">
            <v>4011353</v>
          </cell>
          <cell r="CJ55">
            <v>0.18392808219669335</v>
          </cell>
          <cell r="CK55">
            <v>0.24158953596535671</v>
          </cell>
          <cell r="CL55">
            <v>4011353</v>
          </cell>
          <cell r="CM55">
            <v>0.18912484066666665</v>
          </cell>
          <cell r="CN55">
            <v>0.24841547821566662</v>
          </cell>
          <cell r="DN55" t="str">
            <v>Diretoria Administrativa e Financeira</v>
          </cell>
          <cell r="DO55">
            <v>0</v>
          </cell>
          <cell r="DP55">
            <v>0</v>
          </cell>
          <cell r="DQ55">
            <v>0</v>
          </cell>
          <cell r="DR55">
            <v>0</v>
          </cell>
          <cell r="DS55">
            <v>0</v>
          </cell>
        </row>
        <row r="56">
          <cell r="B56" t="str">
            <v>CPU11</v>
          </cell>
          <cell r="C56" t="str">
            <v>Cálculo Binomio</v>
          </cell>
          <cell r="D56" t="str">
            <v>Fornecimento de CAP 30/45 (BR-116-SP)</v>
          </cell>
          <cell r="E56" t="str">
            <v>t</v>
          </cell>
          <cell r="F56">
            <v>3658.7204014380454</v>
          </cell>
          <cell r="G56">
            <v>3658.7204014380454</v>
          </cell>
          <cell r="H56">
            <v>3658.7204014380454</v>
          </cell>
          <cell r="I56">
            <v>0</v>
          </cell>
          <cell r="J56">
            <v>0</v>
          </cell>
          <cell r="K56">
            <v>0</v>
          </cell>
          <cell r="L56">
            <v>0</v>
          </cell>
          <cell r="W56" t="str">
            <v>E9540</v>
          </cell>
          <cell r="X56" t="str">
            <v>Trator de esteiras com lâmina - 112 kW</v>
          </cell>
          <cell r="Y56" t="str">
            <v>h</v>
          </cell>
          <cell r="Z56">
            <v>183.2705</v>
          </cell>
          <cell r="AA56">
            <v>78.105699999999999</v>
          </cell>
          <cell r="BC56" t="str">
            <v>E9540</v>
          </cell>
          <cell r="BD56" t="str">
            <v>Trator de esteiras com lâmina - 112 kW</v>
          </cell>
          <cell r="BE56" t="str">
            <v>h</v>
          </cell>
          <cell r="BF56">
            <v>180.7765</v>
          </cell>
          <cell r="BG56">
            <v>76.62</v>
          </cell>
          <cell r="CC56">
            <v>0</v>
          </cell>
          <cell r="CD56" t="str">
            <v>Fornecimento de emulsão RR-1C</v>
          </cell>
          <cell r="CE56" t="str">
            <v>t</v>
          </cell>
          <cell r="CF56" t="str">
            <v>0,00045 t</v>
          </cell>
          <cell r="CG56">
            <v>4.4999999999999999E-4</v>
          </cell>
          <cell r="CH56">
            <v>1</v>
          </cell>
          <cell r="CI56" t="str">
            <v>CPU04</v>
          </cell>
          <cell r="CJ56">
            <v>2511.8507594331254</v>
          </cell>
          <cell r="CK56">
            <v>1.1303328417449063</v>
          </cell>
          <cell r="CL56" t="str">
            <v>CPU04-1</v>
          </cell>
          <cell r="CM56">
            <v>2535.6603093736671</v>
          </cell>
          <cell r="CN56">
            <v>1.1410471392181503</v>
          </cell>
          <cell r="DN56" t="str">
            <v>Diretor de Administração e Finanças</v>
          </cell>
          <cell r="DO56">
            <v>42720.54</v>
          </cell>
          <cell r="DP56">
            <v>47212.99</v>
          </cell>
          <cell r="DQ56">
            <v>1.0335248790636142</v>
          </cell>
          <cell r="DR56">
            <v>44152.740937032293</v>
          </cell>
          <cell r="DS56">
            <v>34136.505118016052</v>
          </cell>
        </row>
        <row r="57">
          <cell r="B57" t="str">
            <v>CPU11-1</v>
          </cell>
          <cell r="C57" t="str">
            <v>Cálculo Binomio</v>
          </cell>
          <cell r="D57" t="str">
            <v>Fornecimento de CAP 30/45 (BR-116-RJ)</v>
          </cell>
          <cell r="E57" t="str">
            <v>t</v>
          </cell>
          <cell r="F57">
            <v>0</v>
          </cell>
          <cell r="G57">
            <v>0</v>
          </cell>
          <cell r="H57">
            <v>0</v>
          </cell>
          <cell r="I57">
            <v>0</v>
          </cell>
          <cell r="J57">
            <v>3536.5829756998246</v>
          </cell>
          <cell r="K57">
            <v>3536.5829756998246</v>
          </cell>
          <cell r="L57">
            <v>3536.5829756998246</v>
          </cell>
          <cell r="W57" t="str">
            <v>P9852</v>
          </cell>
          <cell r="X57" t="str">
            <v>Blaster</v>
          </cell>
          <cell r="Y57" t="str">
            <v>h</v>
          </cell>
          <cell r="Z57">
            <v>34.3887</v>
          </cell>
          <cell r="AA57">
            <v>0</v>
          </cell>
          <cell r="BC57" t="str">
            <v>P9852</v>
          </cell>
          <cell r="BD57" t="str">
            <v>Blaster</v>
          </cell>
          <cell r="BE57" t="str">
            <v>h</v>
          </cell>
          <cell r="BF57">
            <v>32.546100000000003</v>
          </cell>
          <cell r="BG57">
            <v>0</v>
          </cell>
          <cell r="CC57">
            <v>0</v>
          </cell>
          <cell r="CD57" t="str">
            <v>Pintura de faixa - tinta base acrílica - espessura de 0,6 mm</v>
          </cell>
          <cell r="CE57" t="str">
            <v>m²</v>
          </cell>
          <cell r="CF57" t="str">
            <v>2 faixas cont. + 1 faixa não cont.</v>
          </cell>
          <cell r="CG57">
            <v>4.4871794871794872E-2</v>
          </cell>
          <cell r="CH57">
            <v>1</v>
          </cell>
          <cell r="CI57">
            <v>5213401</v>
          </cell>
          <cell r="CJ57">
            <v>20.390807290896916</v>
          </cell>
          <cell r="CK57">
            <v>1.2018158822830236</v>
          </cell>
          <cell r="CL57">
            <v>5213401</v>
          </cell>
          <cell r="CM57">
            <v>22.71825438768407</v>
          </cell>
          <cell r="CN57">
            <v>1.3389935254330845</v>
          </cell>
          <cell r="DN57" t="str">
            <v>Gerência Administrativa</v>
          </cell>
          <cell r="DO57">
            <v>0</v>
          </cell>
          <cell r="DP57">
            <v>0</v>
          </cell>
          <cell r="DQ57">
            <v>0</v>
          </cell>
          <cell r="DR57">
            <v>0</v>
          </cell>
          <cell r="DS57">
            <v>0</v>
          </cell>
        </row>
        <row r="58">
          <cell r="B58" t="str">
            <v>CPU11-2</v>
          </cell>
          <cell r="C58" t="str">
            <v>Cálculo Binomio</v>
          </cell>
          <cell r="D58" t="str">
            <v>Fornecimento de CAP 30/45 (BR-101-SP)</v>
          </cell>
          <cell r="E58" t="str">
            <v>t</v>
          </cell>
          <cell r="F58">
            <v>3674.095423314644</v>
          </cell>
          <cell r="G58">
            <v>3674.095423314644</v>
          </cell>
          <cell r="H58">
            <v>3674.095423314644</v>
          </cell>
          <cell r="I58">
            <v>0</v>
          </cell>
          <cell r="J58">
            <v>0</v>
          </cell>
          <cell r="K58">
            <v>0</v>
          </cell>
          <cell r="L58">
            <v>0</v>
          </cell>
          <cell r="W58" t="str">
            <v>M2062</v>
          </cell>
          <cell r="X58" t="str">
            <v>Coroa para perfuratriz T38 - D = 2 1/2"</v>
          </cell>
          <cell r="Y58" t="str">
            <v>un</v>
          </cell>
          <cell r="Z58">
            <v>507.07859999999999</v>
          </cell>
          <cell r="AA58">
            <v>0</v>
          </cell>
          <cell r="BC58" t="str">
            <v>M2062</v>
          </cell>
          <cell r="BD58" t="str">
            <v>Coroa para perfuratriz T38 - D = 2 1/2"</v>
          </cell>
          <cell r="BE58" t="str">
            <v>un</v>
          </cell>
          <cell r="BF58">
            <v>506.9563</v>
          </cell>
          <cell r="BG58">
            <v>0</v>
          </cell>
          <cell r="CC58">
            <v>0</v>
          </cell>
          <cell r="CD58" t="str">
            <v>Tacha refletiva monodirecional - fornecimento e colocação</v>
          </cell>
          <cell r="CE58" t="str">
            <v>un</v>
          </cell>
          <cell r="CF58" t="str">
            <v>3 / 16m / 7,8m largura</v>
          </cell>
          <cell r="CG58">
            <v>2.403846153846154E-2</v>
          </cell>
          <cell r="CH58">
            <v>1</v>
          </cell>
          <cell r="CI58">
            <v>5213359</v>
          </cell>
          <cell r="CJ58">
            <v>12.189996472111552</v>
          </cell>
          <cell r="CK58">
            <v>0.38489327803169532</v>
          </cell>
          <cell r="CL58">
            <v>5213359</v>
          </cell>
          <cell r="CM58">
            <v>14.739324009960159</v>
          </cell>
          <cell r="CN58">
            <v>0.46538706940102564</v>
          </cell>
          <cell r="DN58" t="str">
            <v>Gerente Administrativo</v>
          </cell>
          <cell r="DO58">
            <v>19529.240000000002</v>
          </cell>
          <cell r="DP58">
            <v>21481.01</v>
          </cell>
          <cell r="DQ58">
            <v>1.0335248790636142</v>
          </cell>
          <cell r="DR58">
            <v>20183.9554092043</v>
          </cell>
          <cell r="DS58">
            <v>16061.643951480963</v>
          </cell>
        </row>
        <row r="59">
          <cell r="B59" t="str">
            <v>CPU11-3</v>
          </cell>
          <cell r="C59" t="str">
            <v>Cálculo Binomio</v>
          </cell>
          <cell r="D59" t="str">
            <v>Fornecimento de CAP 30/45 (BR-101- RJ)</v>
          </cell>
          <cell r="E59" t="str">
            <v>t</v>
          </cell>
          <cell r="F59">
            <v>0</v>
          </cell>
          <cell r="G59">
            <v>0</v>
          </cell>
          <cell r="H59">
            <v>0</v>
          </cell>
          <cell r="I59">
            <v>0</v>
          </cell>
          <cell r="J59">
            <v>3553.1551432147298</v>
          </cell>
          <cell r="K59">
            <v>3553.1551432147298</v>
          </cell>
          <cell r="L59">
            <v>3553.1551432147298</v>
          </cell>
          <cell r="W59" t="str">
            <v>M2042</v>
          </cell>
          <cell r="X59" t="str">
            <v>Emulsão explosiva encartuchada</v>
          </cell>
          <cell r="Y59" t="str">
            <v>kg</v>
          </cell>
          <cell r="Z59">
            <v>11.567500000000001</v>
          </cell>
          <cell r="AA59">
            <v>0</v>
          </cell>
          <cell r="BC59" t="str">
            <v>M2042</v>
          </cell>
          <cell r="BD59" t="str">
            <v>Emulsão explosiva encartuchada</v>
          </cell>
          <cell r="BE59" t="str">
            <v>kg</v>
          </cell>
          <cell r="BF59">
            <v>11.567500000000001</v>
          </cell>
          <cell r="BG59">
            <v>0</v>
          </cell>
          <cell r="CC59">
            <v>0</v>
          </cell>
          <cell r="CD59" t="str">
            <v>Tacha refletiva metálica com dois pinos - bidirecional - fornecimento e colocação</v>
          </cell>
          <cell r="CE59" t="str">
            <v>un</v>
          </cell>
          <cell r="CF59" t="str">
            <v>não aplicada</v>
          </cell>
          <cell r="CG59">
            <v>0</v>
          </cell>
          <cell r="CH59">
            <v>1</v>
          </cell>
          <cell r="CI59">
            <v>5213395</v>
          </cell>
          <cell r="CJ59">
            <v>32.534966247709477</v>
          </cell>
          <cell r="CK59">
            <v>0</v>
          </cell>
          <cell r="CL59">
            <v>5213395</v>
          </cell>
          <cell r="CM59">
            <v>34.530034902548728</v>
          </cell>
          <cell r="CN59">
            <v>0</v>
          </cell>
          <cell r="DN59" t="str">
            <v>Seção de Recursos Humanos</v>
          </cell>
          <cell r="DO59">
            <v>0</v>
          </cell>
          <cell r="DP59">
            <v>0</v>
          </cell>
          <cell r="DQ59">
            <v>0</v>
          </cell>
          <cell r="DR59">
            <v>0</v>
          </cell>
          <cell r="DS59">
            <v>0</v>
          </cell>
        </row>
        <row r="60">
          <cell r="B60" t="str">
            <v>CPU20</v>
          </cell>
          <cell r="C60" t="str">
            <v>RIS</v>
          </cell>
          <cell r="D60" t="str">
            <v>Grupo Gerador</v>
          </cell>
          <cell r="E60" t="str">
            <v>vb</v>
          </cell>
          <cell r="F60">
            <v>171452.06</v>
          </cell>
          <cell r="G60">
            <v>171452.06</v>
          </cell>
          <cell r="H60">
            <v>171452.06</v>
          </cell>
          <cell r="I60">
            <v>0</v>
          </cell>
          <cell r="J60">
            <v>171452.06</v>
          </cell>
          <cell r="K60">
            <v>171452.06</v>
          </cell>
          <cell r="L60">
            <v>171452.06</v>
          </cell>
          <cell r="W60" t="str">
            <v>M2065</v>
          </cell>
          <cell r="X60" t="str">
            <v>Haste para perfuratriz de esteira T38 de 1 1/2" x 3 m</v>
          </cell>
          <cell r="Y60" t="str">
            <v>un</v>
          </cell>
          <cell r="Z60">
            <v>1168.2695000000001</v>
          </cell>
          <cell r="AA60">
            <v>0</v>
          </cell>
          <cell r="BC60" t="str">
            <v>M2065</v>
          </cell>
          <cell r="BD60" t="str">
            <v>Haste para perfuratriz de esteira T38 de 1 1/2" x 3 m</v>
          </cell>
          <cell r="BE60" t="str">
            <v>un</v>
          </cell>
          <cell r="BF60">
            <v>1166.6494</v>
          </cell>
          <cell r="BG60">
            <v>0</v>
          </cell>
          <cell r="CC60" t="str">
            <v>PMF2</v>
          </cell>
          <cell r="CD60" t="str">
            <v>PRÉ-MISTURADO A FRIO</v>
          </cell>
          <cell r="CE60">
            <v>0</v>
          </cell>
          <cell r="CF60">
            <v>0</v>
          </cell>
          <cell r="CG60">
            <v>0</v>
          </cell>
          <cell r="CH60">
            <v>0</v>
          </cell>
          <cell r="CI60">
            <v>0</v>
          </cell>
          <cell r="CJ60">
            <v>0</v>
          </cell>
          <cell r="CK60">
            <v>28.770286332829812</v>
          </cell>
          <cell r="CL60">
            <v>0</v>
          </cell>
          <cell r="CM60">
            <v>0</v>
          </cell>
          <cell r="CN60">
            <v>29.138988817695669</v>
          </cell>
          <cell r="DN60" t="str">
            <v>Gerente de Recursos Humanos</v>
          </cell>
          <cell r="DO60">
            <v>26215.33</v>
          </cell>
          <cell r="DP60">
            <v>28892.38</v>
          </cell>
          <cell r="DQ60">
            <v>1.0335248790636142</v>
          </cell>
          <cell r="DR60">
            <v>27094.19576786274</v>
          </cell>
          <cell r="DS60">
            <v>21272.656205945292</v>
          </cell>
        </row>
        <row r="61">
          <cell r="B61" t="str">
            <v>CPU21</v>
          </cell>
          <cell r="C61" t="str">
            <v>RIS</v>
          </cell>
          <cell r="D61" t="str">
            <v>Poço Artesiano e Reservatório Elevado</v>
          </cell>
          <cell r="E61" t="str">
            <v>vb</v>
          </cell>
          <cell r="F61">
            <v>89794.69</v>
          </cell>
          <cell r="G61">
            <v>89794.69</v>
          </cell>
          <cell r="H61">
            <v>89794.69</v>
          </cell>
          <cell r="I61">
            <v>0</v>
          </cell>
          <cell r="J61">
            <v>89794.69</v>
          </cell>
          <cell r="K61">
            <v>89794.69</v>
          </cell>
          <cell r="L61">
            <v>89794.69</v>
          </cell>
          <cell r="W61" t="str">
            <v>M2066</v>
          </cell>
          <cell r="X61" t="str">
            <v>Luva para perfuratriz de esteira T38 - D = 1 1/2"</v>
          </cell>
          <cell r="Y61" t="str">
            <v>un</v>
          </cell>
          <cell r="Z61">
            <v>211.3614</v>
          </cell>
          <cell r="AA61">
            <v>0</v>
          </cell>
          <cell r="BC61" t="str">
            <v>M2066</v>
          </cell>
          <cell r="BD61" t="str">
            <v>Luva para perfuratriz de esteira T38 - D = 1 1/2"</v>
          </cell>
          <cell r="BE61" t="str">
            <v>un</v>
          </cell>
          <cell r="BF61">
            <v>211.23179999999999</v>
          </cell>
          <cell r="BG61">
            <v>0</v>
          </cell>
          <cell r="CC61" t="str">
            <v>(m²)</v>
          </cell>
          <cell r="CD61" t="str">
            <v>Pré-misturado a frio - faixa C - areia extraída, brita produzida</v>
          </cell>
          <cell r="CE61" t="str">
            <v>m³</v>
          </cell>
          <cell r="CF61" t="str">
            <v>h=4cm</v>
          </cell>
          <cell r="CG61">
            <v>0.04</v>
          </cell>
          <cell r="CH61">
            <v>1</v>
          </cell>
          <cell r="CI61">
            <v>4011421</v>
          </cell>
          <cell r="CJ61">
            <v>165.41727940504575</v>
          </cell>
          <cell r="CK61">
            <v>8.6910238599411027</v>
          </cell>
          <cell r="CL61">
            <v>4011421</v>
          </cell>
          <cell r="CM61">
            <v>168.72594859232254</v>
          </cell>
          <cell r="CN61">
            <v>8.8648613390406261</v>
          </cell>
          <cell r="DN61" t="str">
            <v>Analista de Recursos Humanos</v>
          </cell>
          <cell r="DO61">
            <v>2969.35</v>
          </cell>
          <cell r="DP61">
            <v>3534.34</v>
          </cell>
          <cell r="DQ61">
            <v>1.0335248790636142</v>
          </cell>
          <cell r="DR61">
            <v>3068.8970996475427</v>
          </cell>
          <cell r="DS61">
            <v>3155.1784802442121</v>
          </cell>
        </row>
        <row r="62">
          <cell r="B62" t="str">
            <v>CPU16</v>
          </cell>
          <cell r="C62" t="str">
            <v>SINAPI</v>
          </cell>
          <cell r="D62" t="str">
            <v>Custo médio construção civil Sinapi</v>
          </cell>
          <cell r="E62" t="str">
            <v>m²</v>
          </cell>
          <cell r="F62">
            <v>1214.9100000000001</v>
          </cell>
          <cell r="G62">
            <v>1214.9100000000001</v>
          </cell>
          <cell r="H62">
            <v>1214.9100000000001</v>
          </cell>
          <cell r="I62">
            <v>0</v>
          </cell>
          <cell r="J62">
            <v>1230.6600000000001</v>
          </cell>
          <cell r="K62">
            <v>1230.6600000000001</v>
          </cell>
          <cell r="L62">
            <v>1230.6600000000001</v>
          </cell>
          <cell r="W62" t="str">
            <v>M2144</v>
          </cell>
          <cell r="X62" t="str">
            <v>Nonel de coluna com 6 m</v>
          </cell>
          <cell r="Y62" t="str">
            <v>un</v>
          </cell>
          <cell r="Z62">
            <v>14.54</v>
          </cell>
          <cell r="AA62">
            <v>0</v>
          </cell>
          <cell r="BC62" t="str">
            <v>M2144</v>
          </cell>
          <cell r="BD62" t="str">
            <v>Nonel de coluna com 6 m</v>
          </cell>
          <cell r="BE62" t="str">
            <v>un</v>
          </cell>
          <cell r="BF62">
            <v>14.559900000000001</v>
          </cell>
          <cell r="BG62">
            <v>0</v>
          </cell>
          <cell r="CC62">
            <v>0</v>
          </cell>
          <cell r="CD62" t="str">
            <v>Fornecimento de emulsão RR-1C</v>
          </cell>
          <cell r="CE62" t="str">
            <v>t</v>
          </cell>
          <cell r="CF62" t="str">
            <v>0,1867908 t</v>
          </cell>
          <cell r="CG62">
            <v>7.447632E-3</v>
          </cell>
          <cell r="CH62">
            <v>1</v>
          </cell>
          <cell r="CI62" t="str">
            <v>CPU04</v>
          </cell>
          <cell r="CJ62">
            <v>2511.8507594331254</v>
          </cell>
          <cell r="CK62">
            <v>18.707340095178445</v>
          </cell>
          <cell r="CL62" t="str">
            <v>CPU04-1</v>
          </cell>
          <cell r="CM62">
            <v>2535.6603093736671</v>
          </cell>
          <cell r="CN62">
            <v>18.884664861221225</v>
          </cell>
          <cell r="DN62" t="str">
            <v>Assistentes de Recursos Humanos</v>
          </cell>
          <cell r="DO62">
            <v>1711.99</v>
          </cell>
          <cell r="DP62">
            <v>2236.69</v>
          </cell>
          <cell r="DQ62">
            <v>1.0335248790636142</v>
          </cell>
          <cell r="DR62">
            <v>1769.384257708117</v>
          </cell>
          <cell r="DS62">
            <v>2175.2158461376912</v>
          </cell>
        </row>
        <row r="63">
          <cell r="B63" t="str">
            <v>15.03.110</v>
          </cell>
          <cell r="C63" t="str">
            <v>DER/SP</v>
          </cell>
          <cell r="D63" t="str">
            <v>Estruturas metálicas - Fornecimento, montagem e pintura</v>
          </cell>
          <cell r="E63" t="str">
            <v>kg</v>
          </cell>
          <cell r="F63">
            <v>17.54</v>
          </cell>
          <cell r="G63">
            <v>17.54</v>
          </cell>
          <cell r="H63">
            <v>17.54</v>
          </cell>
          <cell r="I63">
            <v>0</v>
          </cell>
          <cell r="J63">
            <v>17.54</v>
          </cell>
          <cell r="K63">
            <v>17.54</v>
          </cell>
          <cell r="L63">
            <v>17.54</v>
          </cell>
          <cell r="W63" t="str">
            <v>M2141</v>
          </cell>
          <cell r="X63" t="str">
            <v>Nonel de iniciação para fogacho com 6 m</v>
          </cell>
          <cell r="Y63" t="str">
            <v>un</v>
          </cell>
          <cell r="Z63">
            <v>11.722</v>
          </cell>
          <cell r="AA63">
            <v>0</v>
          </cell>
          <cell r="BC63" t="str">
            <v>M2141</v>
          </cell>
          <cell r="BD63" t="str">
            <v>Nonel de iniciação para fogacho com 6 m</v>
          </cell>
          <cell r="BE63" t="str">
            <v>un</v>
          </cell>
          <cell r="BF63">
            <v>11.722</v>
          </cell>
          <cell r="BG63">
            <v>0</v>
          </cell>
          <cell r="CC63">
            <v>0</v>
          </cell>
          <cell r="CD63" t="str">
            <v>Pintura de ligação</v>
          </cell>
          <cell r="CE63" t="str">
            <v>m²</v>
          </cell>
          <cell r="CF63">
            <v>1</v>
          </cell>
          <cell r="CG63">
            <v>1</v>
          </cell>
          <cell r="CH63">
            <v>1</v>
          </cell>
          <cell r="CI63">
            <v>4011353</v>
          </cell>
          <cell r="CJ63">
            <v>0.18392808219669335</v>
          </cell>
          <cell r="CK63">
            <v>0.24158953596535671</v>
          </cell>
          <cell r="CL63">
            <v>4011353</v>
          </cell>
          <cell r="CM63">
            <v>0.18912484066666665</v>
          </cell>
          <cell r="CN63">
            <v>0.24841547821566662</v>
          </cell>
          <cell r="DN63" t="str">
            <v>Gerente de Segurança do Trabalho</v>
          </cell>
          <cell r="DO63">
            <v>16665.560000000001</v>
          </cell>
          <cell r="DP63">
            <v>19208.98</v>
          </cell>
          <cell r="DQ63">
            <v>1.0335248790636142</v>
          </cell>
          <cell r="DR63">
            <v>17224.27088352741</v>
          </cell>
          <cell r="DS63">
            <v>13829.74585066802</v>
          </cell>
        </row>
        <row r="64">
          <cell r="B64" t="str">
            <v>25.04.21</v>
          </cell>
          <cell r="C64" t="str">
            <v>DER/SP</v>
          </cell>
          <cell r="D64" t="str">
            <v>Taxa de mobilização de equipamento para Estaca raiz</v>
          </cell>
          <cell r="E64" t="str">
            <v>unid.</v>
          </cell>
          <cell r="F64">
            <v>17180.527000000002</v>
          </cell>
          <cell r="G64">
            <v>17180.527000000002</v>
          </cell>
          <cell r="H64">
            <v>17180.527000000002</v>
          </cell>
          <cell r="I64">
            <v>0</v>
          </cell>
          <cell r="J64">
            <v>17180.527000000002</v>
          </cell>
          <cell r="K64">
            <v>17180.527000000002</v>
          </cell>
          <cell r="L64">
            <v>17180.527000000002</v>
          </cell>
          <cell r="W64" t="str">
            <v>M2143</v>
          </cell>
          <cell r="X64" t="str">
            <v>Nonel de ligação</v>
          </cell>
          <cell r="Y64" t="str">
            <v>un</v>
          </cell>
          <cell r="Z64">
            <v>11.662000000000001</v>
          </cell>
          <cell r="AA64">
            <v>0</v>
          </cell>
          <cell r="BC64" t="str">
            <v>M2143</v>
          </cell>
          <cell r="BD64" t="str">
            <v>Nonel de ligação</v>
          </cell>
          <cell r="BE64" t="str">
            <v>un</v>
          </cell>
          <cell r="BF64">
            <v>11.662000000000001</v>
          </cell>
          <cell r="BG64">
            <v>0</v>
          </cell>
          <cell r="CC64">
            <v>0</v>
          </cell>
          <cell r="CD64" t="str">
            <v>Fornecimento de emulsão RR-1C</v>
          </cell>
          <cell r="CE64" t="str">
            <v>t</v>
          </cell>
          <cell r="CF64" t="str">
            <v>0,00045 t</v>
          </cell>
          <cell r="CG64">
            <v>4.4999999999999999E-4</v>
          </cell>
          <cell r="CH64">
            <v>1</v>
          </cell>
          <cell r="CI64" t="str">
            <v>CPU04</v>
          </cell>
          <cell r="CJ64">
            <v>2511.8507594331254</v>
          </cell>
          <cell r="CK64">
            <v>1.1303328417449063</v>
          </cell>
          <cell r="CL64" t="str">
            <v>CPU04-1</v>
          </cell>
          <cell r="CM64">
            <v>2535.6603093736671</v>
          </cell>
          <cell r="CN64">
            <v>1.1410471392181503</v>
          </cell>
          <cell r="DN64" t="str">
            <v>Médico de Segurança do Trabalho</v>
          </cell>
          <cell r="DO64">
            <v>18178.330000000002</v>
          </cell>
          <cell r="DP64">
            <v>0</v>
          </cell>
          <cell r="DQ64">
            <v>1.0335248790636142</v>
          </cell>
          <cell r="DR64">
            <v>18787.756314828472</v>
          </cell>
          <cell r="DS64">
            <v>15008.77021441215</v>
          </cell>
        </row>
        <row r="65">
          <cell r="B65" t="str">
            <v>26.11.03.04</v>
          </cell>
          <cell r="C65" t="str">
            <v>DER/SP</v>
          </cell>
          <cell r="D65" t="str">
            <v>Tela de proteção</v>
          </cell>
          <cell r="E65" t="str">
            <v>m</v>
          </cell>
          <cell r="F65">
            <v>1883.5374999999999</v>
          </cell>
          <cell r="G65">
            <v>1883.5374999999999</v>
          </cell>
          <cell r="H65">
            <v>1883.5374999999999</v>
          </cell>
          <cell r="I65">
            <v>0</v>
          </cell>
          <cell r="J65">
            <v>1883.5374999999999</v>
          </cell>
          <cell r="K65">
            <v>1883.5374999999999</v>
          </cell>
          <cell r="L65">
            <v>1883.5374999999999</v>
          </cell>
          <cell r="W65" t="str">
            <v>M2146</v>
          </cell>
          <cell r="X65" t="str">
            <v>Nonel iniciador com 150 m</v>
          </cell>
          <cell r="Y65" t="str">
            <v>un</v>
          </cell>
          <cell r="Z65">
            <v>168.76410000000001</v>
          </cell>
          <cell r="AA65">
            <v>0</v>
          </cell>
          <cell r="BC65" t="str">
            <v>M2146</v>
          </cell>
          <cell r="BD65" t="str">
            <v>Nonel iniciador com 150 m</v>
          </cell>
          <cell r="BE65" t="str">
            <v>un</v>
          </cell>
          <cell r="BF65">
            <v>168.61410000000001</v>
          </cell>
          <cell r="BG65">
            <v>0</v>
          </cell>
          <cell r="CC65" t="str">
            <v>PMQ</v>
          </cell>
          <cell r="CD65" t="str">
            <v>PRÉ-MISTURADO A QUENTE</v>
          </cell>
          <cell r="CE65">
            <v>0</v>
          </cell>
          <cell r="CF65">
            <v>0</v>
          </cell>
          <cell r="CG65">
            <v>0</v>
          </cell>
          <cell r="CH65">
            <v>0</v>
          </cell>
          <cell r="CI65">
            <v>0</v>
          </cell>
          <cell r="CJ65">
            <v>0</v>
          </cell>
          <cell r="CK65">
            <v>38.926145263114357</v>
          </cell>
          <cell r="CL65">
            <v>0</v>
          </cell>
          <cell r="CM65">
            <v>0</v>
          </cell>
          <cell r="CN65">
            <v>40.383733467087957</v>
          </cell>
          <cell r="DN65" t="str">
            <v>Técnico de Segurança do Trabalho</v>
          </cell>
          <cell r="DO65">
            <v>2341.56</v>
          </cell>
          <cell r="DP65">
            <v>2623.49</v>
          </cell>
          <cell r="DQ65">
            <v>1.0335248790636142</v>
          </cell>
          <cell r="DR65">
            <v>2420.0605158201965</v>
          </cell>
          <cell r="DS65">
            <v>2665.8908123800102</v>
          </cell>
        </row>
        <row r="66">
          <cell r="B66" t="str">
            <v>28.05.08.01</v>
          </cell>
          <cell r="C66" t="str">
            <v>DER/SP</v>
          </cell>
          <cell r="D66" t="str">
            <v>Terminal absorvedor de impacto (un)</v>
          </cell>
          <cell r="E66" t="str">
            <v>unid.</v>
          </cell>
          <cell r="F66">
            <v>8626.7999999999993</v>
          </cell>
          <cell r="G66">
            <v>8626.7999999999993</v>
          </cell>
          <cell r="H66">
            <v>8626.7999999999993</v>
          </cell>
          <cell r="I66">
            <v>0</v>
          </cell>
          <cell r="J66">
            <v>8626.7999999999993</v>
          </cell>
          <cell r="K66">
            <v>8626.7999999999993</v>
          </cell>
          <cell r="L66">
            <v>8626.7999999999993</v>
          </cell>
          <cell r="W66" t="str">
            <v>M2067</v>
          </cell>
          <cell r="X66" t="str">
            <v>Punho para perfuratriz de esteira T38 - D = 1 1/2"</v>
          </cell>
          <cell r="Y66" t="str">
            <v>un</v>
          </cell>
          <cell r="Z66">
            <v>906.12699999999995</v>
          </cell>
          <cell r="AA66">
            <v>0</v>
          </cell>
          <cell r="BC66" t="str">
            <v>M2067</v>
          </cell>
          <cell r="BD66" t="str">
            <v>Punho para perfuratriz de esteira T38 - D = 1 1/2"</v>
          </cell>
          <cell r="BE66" t="str">
            <v>un</v>
          </cell>
          <cell r="BF66">
            <v>905.99739999999997</v>
          </cell>
          <cell r="BG66">
            <v>0</v>
          </cell>
          <cell r="CC66" t="str">
            <v>(m²)</v>
          </cell>
          <cell r="CD66" t="str">
            <v>Pré-misturado a quente com asfalto polímero - faixa III</v>
          </cell>
          <cell r="CE66" t="str">
            <v>t</v>
          </cell>
          <cell r="CF66">
            <v>4</v>
          </cell>
          <cell r="CG66">
            <v>9.6000000000000002E-2</v>
          </cell>
          <cell r="CH66">
            <v>1</v>
          </cell>
          <cell r="CI66">
            <v>4011438</v>
          </cell>
          <cell r="CJ66">
            <v>119.51849948192771</v>
          </cell>
          <cell r="CK66">
            <v>15.070804710673155</v>
          </cell>
          <cell r="CL66">
            <v>4011438</v>
          </cell>
          <cell r="CM66">
            <v>124.29406818072289</v>
          </cell>
          <cell r="CN66">
            <v>15.672984821316433</v>
          </cell>
          <cell r="DN66" t="str">
            <v>Seção de Suprimentos e Contratos</v>
          </cell>
          <cell r="DO66">
            <v>0</v>
          </cell>
          <cell r="DP66">
            <v>0</v>
          </cell>
          <cell r="DQ66">
            <v>0</v>
          </cell>
          <cell r="DR66">
            <v>0</v>
          </cell>
          <cell r="DS66">
            <v>0</v>
          </cell>
          <cell r="EA66">
            <v>0.75409999999999999</v>
          </cell>
        </row>
        <row r="67">
          <cell r="B67" t="str">
            <v>28.10.01</v>
          </cell>
          <cell r="C67" t="str">
            <v>DER/SP</v>
          </cell>
          <cell r="D67" t="str">
            <v>Catadióptricos p/ defensa metálica  (un)</v>
          </cell>
          <cell r="E67" t="str">
            <v>unid.</v>
          </cell>
          <cell r="F67">
            <v>18.869500000000002</v>
          </cell>
          <cell r="G67">
            <v>18.869500000000002</v>
          </cell>
          <cell r="H67">
            <v>18.869499999999999</v>
          </cell>
          <cell r="I67">
            <v>0</v>
          </cell>
          <cell r="J67">
            <v>18.869499999999999</v>
          </cell>
          <cell r="K67">
            <v>18.869500000000002</v>
          </cell>
          <cell r="L67">
            <v>18.869499999999999</v>
          </cell>
          <cell r="W67" t="str">
            <v>M2145</v>
          </cell>
          <cell r="X67" t="str">
            <v>Série de brocas S-12 - D = 22 mm</v>
          </cell>
          <cell r="Y67" t="str">
            <v>un</v>
          </cell>
          <cell r="Z67">
            <v>543.39980000000003</v>
          </cell>
          <cell r="AA67">
            <v>0</v>
          </cell>
          <cell r="BC67" t="str">
            <v>M2145</v>
          </cell>
          <cell r="BD67" t="str">
            <v>Série de brocas S-12 - D = 22 mm</v>
          </cell>
          <cell r="BE67" t="str">
            <v>un</v>
          </cell>
          <cell r="BF67">
            <v>544.18169999999998</v>
          </cell>
          <cell r="BG67">
            <v>0</v>
          </cell>
          <cell r="CC67">
            <v>0</v>
          </cell>
          <cell r="CD67" t="str">
            <v>Fornecimento de Material Betuminoso c/ polímero SBS</v>
          </cell>
          <cell r="CE67" t="str">
            <v>t</v>
          </cell>
          <cell r="CF67" t="str">
            <v>0,057732 t</v>
          </cell>
          <cell r="CG67">
            <v>4.6629504E-3</v>
          </cell>
          <cell r="CH67">
            <v>1</v>
          </cell>
          <cell r="CI67" t="str">
            <v>CPU10</v>
          </cell>
          <cell r="CJ67">
            <v>4481.4349761078774</v>
          </cell>
          <cell r="CK67">
            <v>20.896709014416217</v>
          </cell>
          <cell r="CL67" t="str">
            <v>CPU10-1</v>
          </cell>
          <cell r="CM67">
            <v>4614.4401264709131</v>
          </cell>
          <cell r="CN67">
            <v>21.516905433503595</v>
          </cell>
          <cell r="DN67" t="str">
            <v>Analista de Suprimentos / Compras</v>
          </cell>
          <cell r="DO67">
            <v>5209.84</v>
          </cell>
          <cell r="DP67">
            <v>5710.52</v>
          </cell>
          <cell r="DQ67">
            <v>1.0335248790636142</v>
          </cell>
          <cell r="DR67">
            <v>5384.4992559407801</v>
          </cell>
          <cell r="DS67">
            <v>4901.3740663049421</v>
          </cell>
        </row>
        <row r="68">
          <cell r="B68" t="str">
            <v>28.10.02</v>
          </cell>
          <cell r="C68" t="str">
            <v>DER/SP</v>
          </cell>
          <cell r="D68" t="str">
            <v>Catadióptricos para barreira rígida (un)</v>
          </cell>
          <cell r="E68" t="str">
            <v>m</v>
          </cell>
          <cell r="F68">
            <v>19.298500000000001</v>
          </cell>
          <cell r="G68">
            <v>19.298500000000001</v>
          </cell>
          <cell r="H68">
            <v>19.298500000000001</v>
          </cell>
          <cell r="I68">
            <v>0</v>
          </cell>
          <cell r="J68">
            <v>19.298500000000001</v>
          </cell>
          <cell r="K68">
            <v>19.298500000000001</v>
          </cell>
          <cell r="L68">
            <v>19.298500000000001</v>
          </cell>
          <cell r="W68" t="str">
            <v>E9604</v>
          </cell>
          <cell r="X68" t="str">
            <v>Caminhão basculante para rocha com capacidade de 8 m³ - 210 kW</v>
          </cell>
          <cell r="Y68" t="str">
            <v>h</v>
          </cell>
          <cell r="Z68">
            <v>188.3056</v>
          </cell>
          <cell r="AA68">
            <v>53.349800000000002</v>
          </cell>
          <cell r="BC68" t="str">
            <v>E9604</v>
          </cell>
          <cell r="BD68" t="str">
            <v>Caminhão basculante para rocha com capacidade de 8 m³ - 210 kW</v>
          </cell>
          <cell r="BE68" t="str">
            <v>h</v>
          </cell>
          <cell r="BF68">
            <v>187.19829999999999</v>
          </cell>
          <cell r="BG68">
            <v>54.079799999999999</v>
          </cell>
          <cell r="CC68">
            <v>0</v>
          </cell>
          <cell r="CD68" t="str">
            <v>Pintura de ligação</v>
          </cell>
          <cell r="CE68" t="str">
            <v>m²</v>
          </cell>
          <cell r="CF68">
            <v>1</v>
          </cell>
          <cell r="CG68">
            <v>1</v>
          </cell>
          <cell r="CH68">
            <v>1</v>
          </cell>
          <cell r="CI68">
            <v>4011353</v>
          </cell>
          <cell r="CJ68">
            <v>0.18392808219669335</v>
          </cell>
          <cell r="CK68">
            <v>0.24158953596535671</v>
          </cell>
          <cell r="CL68">
            <v>4011353</v>
          </cell>
          <cell r="CM68">
            <v>0.18912484066666665</v>
          </cell>
          <cell r="CN68">
            <v>0.24841547821566662</v>
          </cell>
          <cell r="DN68" t="str">
            <v>Comprador</v>
          </cell>
          <cell r="DO68">
            <v>2933.42</v>
          </cell>
          <cell r="DP68">
            <v>3951.16</v>
          </cell>
          <cell r="DQ68">
            <v>1.0335248790636142</v>
          </cell>
          <cell r="DR68">
            <v>3031.7625507427874</v>
          </cell>
          <cell r="DS68">
            <v>3127.1753169151361</v>
          </cell>
        </row>
        <row r="69">
          <cell r="B69" t="str">
            <v>24.08.02</v>
          </cell>
          <cell r="C69" t="str">
            <v>DER/SP</v>
          </cell>
          <cell r="D69" t="str">
            <v>Junta elástica em pvc tipo O-22 (item DER-SP)</v>
          </cell>
          <cell r="E69" t="str">
            <v>m</v>
          </cell>
          <cell r="F69">
            <v>159.5</v>
          </cell>
          <cell r="G69">
            <v>159.5</v>
          </cell>
          <cell r="H69">
            <v>159.5</v>
          </cell>
          <cell r="I69">
            <v>0</v>
          </cell>
          <cell r="J69">
            <v>159.5</v>
          </cell>
          <cell r="K69">
            <v>159.5</v>
          </cell>
          <cell r="L69">
            <v>159.5</v>
          </cell>
          <cell r="W69" t="str">
            <v>E9537</v>
          </cell>
          <cell r="X69" t="str">
            <v>Carregadeira de pneus com capacidade de 1,72 m³ - 113 kW</v>
          </cell>
          <cell r="Y69" t="str">
            <v>h</v>
          </cell>
          <cell r="Z69">
            <v>139.81229999999999</v>
          </cell>
          <cell r="AA69">
            <v>59.0139</v>
          </cell>
          <cell r="BC69" t="str">
            <v>E9537</v>
          </cell>
          <cell r="BD69" t="str">
            <v>Carregadeira de pneus com capacidade de 1,72 m³ - 113 kW</v>
          </cell>
          <cell r="BE69" t="str">
            <v>h</v>
          </cell>
          <cell r="BF69">
            <v>137.3569</v>
          </cell>
          <cell r="BG69">
            <v>57.545099999999998</v>
          </cell>
          <cell r="CC69">
            <v>0</v>
          </cell>
          <cell r="CD69" t="str">
            <v>Fornecimento de emulsão RR-1C</v>
          </cell>
          <cell r="CE69" t="str">
            <v>t</v>
          </cell>
          <cell r="CF69" t="str">
            <v>0,00045 t</v>
          </cell>
          <cell r="CG69">
            <v>4.4999999999999999E-4</v>
          </cell>
          <cell r="CH69">
            <v>1</v>
          </cell>
          <cell r="CI69" t="str">
            <v>CPU04</v>
          </cell>
          <cell r="CJ69">
            <v>2511.8507594331254</v>
          </cell>
          <cell r="CK69">
            <v>1.1303328417449063</v>
          </cell>
          <cell r="CL69" t="str">
            <v>CPU04-1</v>
          </cell>
          <cell r="CM69">
            <v>2535.6603093736671</v>
          </cell>
          <cell r="CN69">
            <v>1.1410471392181503</v>
          </cell>
          <cell r="DN69" t="str">
            <v>Analista de Contrato</v>
          </cell>
          <cell r="DO69">
            <v>3550.01</v>
          </cell>
          <cell r="DP69">
            <v>4065.81</v>
          </cell>
          <cell r="DQ69">
            <v>1.0335248790636142</v>
          </cell>
          <cell r="DR69">
            <v>3669.0236559246214</v>
          </cell>
          <cell r="DS69">
            <v>3607.733916332757</v>
          </cell>
        </row>
        <row r="70">
          <cell r="B70">
            <v>9540</v>
          </cell>
          <cell r="C70" t="str">
            <v>SINAPI</v>
          </cell>
          <cell r="D70" t="str">
            <v>KIT PADRÃO DE ENTRADA INDIVIDUAL EDP BANDEIRANTE COM POSTE DE CONCRETO 200DAN COM CAIXA TIPO III, MEDIÇÃO DIRETA TRIFÁSICO ATÉ 100A - REDE AÉREA. CAT.T4 CONTEMPLANDO ABRIGO EM ALVENARIA</v>
          </cell>
          <cell r="E70" t="str">
            <v xml:space="preserve">un </v>
          </cell>
          <cell r="F70">
            <v>1246.5700000000002</v>
          </cell>
          <cell r="G70">
            <v>1246.5700000000002</v>
          </cell>
          <cell r="H70">
            <v>1246.5700000000002</v>
          </cell>
          <cell r="I70">
            <v>0</v>
          </cell>
          <cell r="J70">
            <v>1291.3899999999999</v>
          </cell>
          <cell r="K70">
            <v>1291.3899999999999</v>
          </cell>
          <cell r="L70">
            <v>1291.3899999999999</v>
          </cell>
          <cell r="W70" t="str">
            <v>E9575</v>
          </cell>
          <cell r="X70" t="str">
            <v>Caminhão basculante com caçamba estanque com capacidade de 14 m³ - 323 kW</v>
          </cell>
          <cell r="Y70" t="str">
            <v>h</v>
          </cell>
          <cell r="Z70">
            <v>173.809</v>
          </cell>
          <cell r="AA70">
            <v>54.1126</v>
          </cell>
          <cell r="BC70" t="str">
            <v>E9575</v>
          </cell>
          <cell r="BD70" t="str">
            <v>Caminhão basculante com caçamba estanque com capacidade de 14 m³ - 323 kW</v>
          </cell>
          <cell r="BE70" t="str">
            <v>h</v>
          </cell>
          <cell r="BF70">
            <v>173.1283</v>
          </cell>
          <cell r="BG70">
            <v>55.074599999999997</v>
          </cell>
          <cell r="CC70">
            <v>0</v>
          </cell>
          <cell r="CD70" t="str">
            <v>Pintura de faixa - tinta base acrílica - espessura de 0,6 mm</v>
          </cell>
          <cell r="CE70" t="str">
            <v>m²</v>
          </cell>
          <cell r="CF70" t="str">
            <v>2 faixas cont. + 1 faixa não cont.</v>
          </cell>
          <cell r="CG70">
            <v>4.4871794871794872E-2</v>
          </cell>
          <cell r="CH70">
            <v>1</v>
          </cell>
          <cell r="CI70">
            <v>5213401</v>
          </cell>
          <cell r="CJ70">
            <v>20.390807290896916</v>
          </cell>
          <cell r="CK70">
            <v>1.2018158822830236</v>
          </cell>
          <cell r="CL70">
            <v>5213401</v>
          </cell>
          <cell r="CM70">
            <v>22.71825438768407</v>
          </cell>
          <cell r="CN70">
            <v>1.3389935254330845</v>
          </cell>
          <cell r="DN70" t="str">
            <v>Almoxarife</v>
          </cell>
          <cell r="DO70">
            <v>2135.02</v>
          </cell>
          <cell r="DP70">
            <v>2293.7399999999998</v>
          </cell>
          <cell r="DQ70">
            <v>1.0335248790636142</v>
          </cell>
          <cell r="DR70">
            <v>2206.5962872983978</v>
          </cell>
          <cell r="DS70">
            <v>2504.9174376517217</v>
          </cell>
        </row>
        <row r="71">
          <cell r="B71">
            <v>72251</v>
          </cell>
          <cell r="C71" t="str">
            <v>SINAPI</v>
          </cell>
          <cell r="D71" t="str">
            <v>CABO DE COBRE NU 16MM2 - FORNECIMENTO E INSTALACAO</v>
          </cell>
          <cell r="E71" t="str">
            <v>m</v>
          </cell>
          <cell r="F71">
            <v>13.418900000000001</v>
          </cell>
          <cell r="G71">
            <v>13.418900000000001</v>
          </cell>
          <cell r="H71">
            <v>13.418900000000001</v>
          </cell>
          <cell r="I71">
            <v>0</v>
          </cell>
          <cell r="J71">
            <v>15.9892</v>
          </cell>
          <cell r="K71">
            <v>15.9892</v>
          </cell>
          <cell r="L71">
            <v>15.9892</v>
          </cell>
          <cell r="W71" t="str">
            <v>E9576</v>
          </cell>
          <cell r="X71" t="str">
            <v>Escavadeira hidráulica de longo alcance sobre esteiras - 103 kW</v>
          </cell>
          <cell r="Y71" t="str">
            <v>h</v>
          </cell>
          <cell r="Z71">
            <v>182.40979999999999</v>
          </cell>
          <cell r="AA71">
            <v>85.611599999999996</v>
          </cell>
          <cell r="BC71" t="str">
            <v>E9576</v>
          </cell>
          <cell r="BD71" t="str">
            <v>Escavadeira hidráulica de longo alcance sobre esteiras - 103 kW</v>
          </cell>
          <cell r="BE71" t="str">
            <v>h</v>
          </cell>
          <cell r="BF71">
            <v>179.69159999999999</v>
          </cell>
          <cell r="BG71">
            <v>83.950400000000002</v>
          </cell>
          <cell r="CC71">
            <v>0</v>
          </cell>
          <cell r="CD71" t="str">
            <v>Tacha refletiva monodirecional - fornecimento e colocação</v>
          </cell>
          <cell r="CE71" t="str">
            <v>un</v>
          </cell>
          <cell r="CF71" t="str">
            <v>3 / 16m / 7,8m largura</v>
          </cell>
          <cell r="CG71">
            <v>2.403846153846154E-2</v>
          </cell>
          <cell r="CH71">
            <v>1</v>
          </cell>
          <cell r="CI71">
            <v>5213359</v>
          </cell>
          <cell r="CJ71">
            <v>12.189996472111552</v>
          </cell>
          <cell r="CK71">
            <v>0.38489327803169532</v>
          </cell>
          <cell r="CL71">
            <v>5213359</v>
          </cell>
          <cell r="CM71">
            <v>14.739324009960159</v>
          </cell>
          <cell r="CN71">
            <v>0.46538706940102564</v>
          </cell>
          <cell r="DN71" t="str">
            <v>Seção de Transportes e Serviços Gerais</v>
          </cell>
          <cell r="DO71">
            <v>0</v>
          </cell>
          <cell r="DP71">
            <v>0</v>
          </cell>
          <cell r="DQ71">
            <v>0</v>
          </cell>
          <cell r="DR71">
            <v>0</v>
          </cell>
          <cell r="DS71">
            <v>0</v>
          </cell>
        </row>
        <row r="72">
          <cell r="B72">
            <v>72252</v>
          </cell>
          <cell r="C72" t="str">
            <v>SINAPI</v>
          </cell>
          <cell r="D72" t="str">
            <v>CABO DE COBRE NU 25MM2 - FORNECIMENTO E INSTALACAO</v>
          </cell>
          <cell r="E72" t="str">
            <v>m</v>
          </cell>
          <cell r="F72">
            <v>19.3171</v>
          </cell>
          <cell r="G72">
            <v>19.3171</v>
          </cell>
          <cell r="H72">
            <v>19.3171</v>
          </cell>
          <cell r="I72">
            <v>0</v>
          </cell>
          <cell r="J72">
            <v>23.201599999999999</v>
          </cell>
          <cell r="K72">
            <v>23.201599999999999</v>
          </cell>
          <cell r="L72">
            <v>23.201599999999999</v>
          </cell>
          <cell r="W72" t="str">
            <v>P9821</v>
          </cell>
          <cell r="X72" t="str">
            <v>Pedreiro</v>
          </cell>
          <cell r="Y72" t="str">
            <v>h</v>
          </cell>
          <cell r="Z72">
            <v>26.306699999999999</v>
          </cell>
          <cell r="AA72">
            <v>0</v>
          </cell>
          <cell r="BC72" t="str">
            <v>P9821</v>
          </cell>
          <cell r="BD72" t="str">
            <v>Pedreiro</v>
          </cell>
          <cell r="BE72" t="str">
            <v>h</v>
          </cell>
          <cell r="BF72">
            <v>24.570499999999999</v>
          </cell>
          <cell r="BG72">
            <v>0</v>
          </cell>
          <cell r="CC72">
            <v>0</v>
          </cell>
          <cell r="CD72" t="str">
            <v>Tacha refletiva metálica com dois pinos - bidirecional - fornecimento e colocação</v>
          </cell>
          <cell r="CE72" t="str">
            <v>un</v>
          </cell>
          <cell r="CF72" t="str">
            <v>não aplicada</v>
          </cell>
          <cell r="CG72">
            <v>0</v>
          </cell>
          <cell r="CH72">
            <v>1</v>
          </cell>
          <cell r="CI72">
            <v>5213395</v>
          </cell>
          <cell r="CJ72">
            <v>32.534966247709477</v>
          </cell>
          <cell r="CK72">
            <v>0</v>
          </cell>
          <cell r="CL72">
            <v>5213395</v>
          </cell>
          <cell r="CM72">
            <v>34.530034902548728</v>
          </cell>
          <cell r="CN72">
            <v>0</v>
          </cell>
          <cell r="DN72" t="str">
            <v>Analista de Manutenção de Veículos e Serviços Gerais</v>
          </cell>
          <cell r="DO72">
            <v>2837.93</v>
          </cell>
          <cell r="DP72">
            <v>3276.49</v>
          </cell>
          <cell r="DQ72">
            <v>1.0335248790636142</v>
          </cell>
          <cell r="DR72">
            <v>2933.0712600410025</v>
          </cell>
          <cell r="DS72">
            <v>3052.7522145969201</v>
          </cell>
        </row>
        <row r="73">
          <cell r="B73">
            <v>72264</v>
          </cell>
          <cell r="C73" t="str">
            <v>SINAPI</v>
          </cell>
          <cell r="D73" t="str">
            <v>TERMINAL OU CONECTOR DE PRESSÃO - PARA CABO 70MM2</v>
          </cell>
          <cell r="E73" t="str">
            <v>un</v>
          </cell>
          <cell r="F73">
            <v>24.274000000000001</v>
          </cell>
          <cell r="G73">
            <v>24.274000000000001</v>
          </cell>
          <cell r="H73">
            <v>24.274000000000001</v>
          </cell>
          <cell r="I73">
            <v>0</v>
          </cell>
          <cell r="J73">
            <v>25.048000000000002</v>
          </cell>
          <cell r="K73">
            <v>25.048000000000002</v>
          </cell>
          <cell r="L73">
            <v>25.048000000000002</v>
          </cell>
          <cell r="W73" t="str">
            <v>M1097</v>
          </cell>
          <cell r="X73" t="str">
            <v>Pedra de mão</v>
          </cell>
          <cell r="Y73" t="str">
            <v>m³</v>
          </cell>
          <cell r="Z73">
            <v>77.853300000000004</v>
          </cell>
          <cell r="AA73">
            <v>0</v>
          </cell>
          <cell r="BC73" t="str">
            <v>M1097</v>
          </cell>
          <cell r="BD73" t="str">
            <v>Pedra de mão</v>
          </cell>
          <cell r="BE73" t="str">
            <v>m³</v>
          </cell>
          <cell r="BF73">
            <v>61.531300000000002</v>
          </cell>
          <cell r="BG73">
            <v>0</v>
          </cell>
          <cell r="CC73" t="str">
            <v>TSD</v>
          </cell>
          <cell r="CD73" t="str">
            <v>Tratamento Superficial Duplo</v>
          </cell>
          <cell r="CE73">
            <v>0</v>
          </cell>
          <cell r="CF73">
            <v>0</v>
          </cell>
          <cell r="CG73">
            <v>0</v>
          </cell>
          <cell r="CH73">
            <v>0</v>
          </cell>
          <cell r="CI73">
            <v>0</v>
          </cell>
          <cell r="CJ73">
            <v>0</v>
          </cell>
          <cell r="CK73">
            <v>18.096552905457528</v>
          </cell>
          <cell r="CL73">
            <v>0</v>
          </cell>
          <cell r="CM73">
            <v>0</v>
          </cell>
          <cell r="CN73">
            <v>19.064866401700595</v>
          </cell>
          <cell r="DN73" t="str">
            <v>Auxiliar Administrativo</v>
          </cell>
          <cell r="DO73">
            <v>1574.24</v>
          </cell>
          <cell r="DP73">
            <v>1700.83</v>
          </cell>
          <cell r="DQ73">
            <v>1.0335248790636142</v>
          </cell>
          <cell r="DR73">
            <v>1627.0162056171041</v>
          </cell>
          <cell r="DS73">
            <v>2067.8560980558582</v>
          </cell>
          <cell r="EA73">
            <v>840.92317739999999</v>
          </cell>
        </row>
        <row r="74">
          <cell r="B74">
            <v>72272</v>
          </cell>
          <cell r="C74" t="str">
            <v>SINAPI</v>
          </cell>
          <cell r="D74" t="str">
            <v>CONECTOR METALICO TIPO PARAFUSO FENDIDO (SPLIT BOLT), PARA CABOS ATE 70 MM2</v>
          </cell>
          <cell r="E74" t="str">
            <v xml:space="preserve">un </v>
          </cell>
          <cell r="F74">
            <v>15.352</v>
          </cell>
          <cell r="G74">
            <v>15.352</v>
          </cell>
          <cell r="H74">
            <v>15.352</v>
          </cell>
          <cell r="I74">
            <v>0</v>
          </cell>
          <cell r="J74">
            <v>15.604000000000003</v>
          </cell>
          <cell r="K74">
            <v>15.604000000000003</v>
          </cell>
          <cell r="L74">
            <v>15.604000000000003</v>
          </cell>
          <cell r="W74" t="str">
            <v>M1097</v>
          </cell>
          <cell r="X74" t="str">
            <v>Pedra de mão - Caminhão basculante 10 m³</v>
          </cell>
          <cell r="Y74" t="str">
            <v>m³</v>
          </cell>
          <cell r="Z74">
            <v>77.853300000000004</v>
          </cell>
          <cell r="AA74">
            <v>0</v>
          </cell>
          <cell r="BC74" t="str">
            <v>M1097</v>
          </cell>
          <cell r="BD74" t="str">
            <v>Pedra de mão - Caminhão basculante 10 m³</v>
          </cell>
          <cell r="BE74" t="str">
            <v>m³</v>
          </cell>
          <cell r="BF74">
            <v>61.531300000000002</v>
          </cell>
          <cell r="BG74">
            <v>0</v>
          </cell>
          <cell r="CC74" t="str">
            <v>(m²)</v>
          </cell>
          <cell r="CD74" t="str">
            <v>Tratamento superficial duplo com CAP - brita comercial</v>
          </cell>
          <cell r="CE74" t="str">
            <v>m²</v>
          </cell>
          <cell r="CF74" t="str">
            <v>1m²/m²</v>
          </cell>
          <cell r="CG74">
            <v>1</v>
          </cell>
          <cell r="CH74">
            <v>1</v>
          </cell>
          <cell r="CI74">
            <v>4011368</v>
          </cell>
          <cell r="CJ74">
            <v>2.9953056164163319</v>
          </cell>
          <cell r="CK74">
            <v>3.9343339271628515</v>
          </cell>
          <cell r="CL74">
            <v>4011368</v>
          </cell>
          <cell r="CM74">
            <v>3.3002838776211512</v>
          </cell>
          <cell r="CN74">
            <v>4.3349228732553815</v>
          </cell>
          <cell r="DN74" t="str">
            <v>Telefonista/Recepcionista</v>
          </cell>
          <cell r="DO74">
            <v>1330.57</v>
          </cell>
          <cell r="DP74">
            <v>1552.19</v>
          </cell>
          <cell r="DQ74">
            <v>1.0335248790636142</v>
          </cell>
          <cell r="DR74">
            <v>1375.1771983356732</v>
          </cell>
          <cell r="DS74">
            <v>1877.9443026649312</v>
          </cell>
        </row>
        <row r="75">
          <cell r="B75">
            <v>83399</v>
          </cell>
          <cell r="C75" t="str">
            <v>SINAPI</v>
          </cell>
          <cell r="D75" t="str">
            <v>RELE FOTOELETRICO P/ COMANDO DE ILUMINACAO EXTERNA 220V/1000W - FORNECIMENTO E INSTALACAO</v>
          </cell>
          <cell r="E75" t="str">
            <v>un</v>
          </cell>
          <cell r="F75">
            <v>33.326499999999996</v>
          </cell>
          <cell r="G75">
            <v>33.326499999999996</v>
          </cell>
          <cell r="H75">
            <v>33.326499999999996</v>
          </cell>
          <cell r="I75">
            <v>0</v>
          </cell>
          <cell r="J75">
            <v>34.152500000000003</v>
          </cell>
          <cell r="K75">
            <v>34.152500000000003</v>
          </cell>
          <cell r="L75">
            <v>34.152500000000003</v>
          </cell>
          <cell r="W75" t="str">
            <v>M3507</v>
          </cell>
          <cell r="X75" t="str">
            <v>Material retirado da pista - revestimento asfáltico</v>
          </cell>
          <cell r="Y75" t="str">
            <v>m³</v>
          </cell>
          <cell r="Z75">
            <v>0</v>
          </cell>
          <cell r="AA75">
            <v>0</v>
          </cell>
          <cell r="BC75" t="str">
            <v>M3507</v>
          </cell>
          <cell r="BD75" t="str">
            <v>Material retirado da pista - revestimento asfáltico</v>
          </cell>
          <cell r="BE75" t="str">
            <v>m³</v>
          </cell>
          <cell r="BF75">
            <v>0</v>
          </cell>
          <cell r="BG75">
            <v>0</v>
          </cell>
          <cell r="CC75">
            <v>0</v>
          </cell>
          <cell r="CD75" t="str">
            <v>Fornecimento de Material Betuminoso c/ polímero SBS</v>
          </cell>
          <cell r="CE75" t="str">
            <v>t</v>
          </cell>
          <cell r="CF75" t="str">
            <v>0,00250t/m²</v>
          </cell>
          <cell r="CG75">
            <v>2.5000000000000001E-3</v>
          </cell>
          <cell r="CH75">
            <v>1</v>
          </cell>
          <cell r="CI75" t="str">
            <v>CPU10</v>
          </cell>
          <cell r="CJ75">
            <v>4481.4349761078774</v>
          </cell>
          <cell r="CK75">
            <v>11.203587440269693</v>
          </cell>
          <cell r="CL75" t="str">
            <v>CPU10-1</v>
          </cell>
          <cell r="CM75">
            <v>4614.4401264709131</v>
          </cell>
          <cell r="CN75">
            <v>11.536100316177283</v>
          </cell>
          <cell r="DN75" t="str">
            <v xml:space="preserve">Motorista </v>
          </cell>
          <cell r="DO75">
            <v>1406.81</v>
          </cell>
          <cell r="DP75">
            <v>1678.55</v>
          </cell>
          <cell r="DQ75">
            <v>1.0335248790636142</v>
          </cell>
          <cell r="DR75">
            <v>1453.973135115483</v>
          </cell>
          <cell r="DS75">
            <v>1937.3643185905858</v>
          </cell>
        </row>
        <row r="76">
          <cell r="B76">
            <v>84656</v>
          </cell>
          <cell r="C76" t="str">
            <v>SINAPI</v>
          </cell>
          <cell r="D76" t="str">
            <v>Tratamento em concreto com estuque e lixamento</v>
          </cell>
          <cell r="E76" t="str">
            <v>m²</v>
          </cell>
          <cell r="F76">
            <v>37.490199999999994</v>
          </cell>
          <cell r="G76">
            <v>37.490199999999994</v>
          </cell>
          <cell r="H76">
            <v>37.490199999999994</v>
          </cell>
          <cell r="I76">
            <v>0</v>
          </cell>
          <cell r="J76">
            <v>42.022599999999997</v>
          </cell>
          <cell r="K76">
            <v>42.022599999999997</v>
          </cell>
          <cell r="L76">
            <v>42.022599999999997</v>
          </cell>
          <cell r="W76" t="str">
            <v>M3507</v>
          </cell>
          <cell r="X76" t="str">
            <v>Material retirado da pista - revestimento asfáltico - Caminhão basculante 6 m³</v>
          </cell>
          <cell r="Y76" t="str">
            <v>m³</v>
          </cell>
          <cell r="Z76">
            <v>0</v>
          </cell>
          <cell r="AA76">
            <v>0</v>
          </cell>
          <cell r="BC76" t="str">
            <v>M3507</v>
          </cell>
          <cell r="BD76" t="str">
            <v>Material retirado da pista - revestimento asfáltico - Caminhão basculante 6 m³</v>
          </cell>
          <cell r="BE76" t="str">
            <v>m³</v>
          </cell>
          <cell r="BF76">
            <v>0</v>
          </cell>
          <cell r="BG76">
            <v>0</v>
          </cell>
          <cell r="CC76">
            <v>0</v>
          </cell>
          <cell r="CD76" t="str">
            <v>Pintura de ligação</v>
          </cell>
          <cell r="CE76" t="str">
            <v>m²</v>
          </cell>
          <cell r="CF76">
            <v>1</v>
          </cell>
          <cell r="CG76">
            <v>1</v>
          </cell>
          <cell r="CH76">
            <v>1</v>
          </cell>
          <cell r="CI76">
            <v>4011353</v>
          </cell>
          <cell r="CJ76">
            <v>0.18392808219669335</v>
          </cell>
          <cell r="CK76">
            <v>0.24158953596535671</v>
          </cell>
          <cell r="CL76">
            <v>4011353</v>
          </cell>
          <cell r="CM76">
            <v>0.18912484066666665</v>
          </cell>
          <cell r="CN76">
            <v>0.24841547821566662</v>
          </cell>
          <cell r="DN76" t="str">
            <v>Copeiro</v>
          </cell>
          <cell r="DO76">
            <v>1086.95</v>
          </cell>
          <cell r="DP76">
            <v>1156.1500000000001</v>
          </cell>
          <cell r="DQ76">
            <v>1.0335248790636142</v>
          </cell>
          <cell r="DR76">
            <v>1123.3898672981954</v>
          </cell>
          <cell r="DS76">
            <v>1688.0714763295691</v>
          </cell>
        </row>
        <row r="77">
          <cell r="B77">
            <v>90439</v>
          </cell>
          <cell r="C77" t="str">
            <v>SINAPI</v>
          </cell>
          <cell r="D77" t="str">
            <v>Furo em concreto para diâmetros menores ou iguais a 40 mm. af_05/2015</v>
          </cell>
          <cell r="E77" t="str">
            <v>un</v>
          </cell>
          <cell r="F77">
            <v>61.573160000000001</v>
          </cell>
          <cell r="G77">
            <v>61.573160000000001</v>
          </cell>
          <cell r="H77">
            <v>61.573160000000001</v>
          </cell>
          <cell r="I77">
            <v>0</v>
          </cell>
          <cell r="J77">
            <v>66.168869999999998</v>
          </cell>
          <cell r="K77">
            <v>66.168869999999998</v>
          </cell>
          <cell r="L77">
            <v>66.168869999999998</v>
          </cell>
          <cell r="W77" t="str">
            <v>M3508</v>
          </cell>
          <cell r="X77" t="str">
            <v>Material retirado da pista - camada granular (base)</v>
          </cell>
          <cell r="Y77" t="str">
            <v>m³</v>
          </cell>
          <cell r="Z77">
            <v>0</v>
          </cell>
          <cell r="AA77">
            <v>0</v>
          </cell>
          <cell r="BC77" t="str">
            <v>M3508</v>
          </cell>
          <cell r="BD77" t="str">
            <v>Material retirado da pista - camada granular (base)</v>
          </cell>
          <cell r="BE77" t="str">
            <v>m³</v>
          </cell>
          <cell r="BF77">
            <v>0</v>
          </cell>
          <cell r="BG77">
            <v>0</v>
          </cell>
          <cell r="CC77">
            <v>0</v>
          </cell>
          <cell r="CD77" t="str">
            <v>Fornecimento de emulsão RR-1C</v>
          </cell>
          <cell r="CE77" t="str">
            <v>t</v>
          </cell>
          <cell r="CF77" t="str">
            <v>0,00045 t</v>
          </cell>
          <cell r="CG77">
            <v>4.4999999999999999E-4</v>
          </cell>
          <cell r="CH77">
            <v>1</v>
          </cell>
          <cell r="CI77" t="str">
            <v>CPU04</v>
          </cell>
          <cell r="CJ77">
            <v>2511.8507594331254</v>
          </cell>
          <cell r="CK77">
            <v>1.1303328417449063</v>
          </cell>
          <cell r="CL77" t="str">
            <v>CPU04-1</v>
          </cell>
          <cell r="CM77">
            <v>2535.6603093736671</v>
          </cell>
          <cell r="CN77">
            <v>1.1410471392181503</v>
          </cell>
          <cell r="DN77" t="str">
            <v>Faxineiro</v>
          </cell>
          <cell r="DO77">
            <v>1086.95</v>
          </cell>
          <cell r="DP77">
            <v>1156.1500000000001</v>
          </cell>
          <cell r="DQ77">
            <v>1.0335248790636142</v>
          </cell>
          <cell r="DR77">
            <v>1123.3898672981954</v>
          </cell>
          <cell r="DS77">
            <v>1688.0714763295691</v>
          </cell>
        </row>
        <row r="78">
          <cell r="B78">
            <v>91933</v>
          </cell>
          <cell r="C78" t="str">
            <v>SINAPI</v>
          </cell>
          <cell r="D78" t="str">
            <v>CABO DE COBRE FLEXÍVEL UNIPOLAR 10MM² ANTICHAMA, 0,6/1 KV - HEPR 90°C</v>
          </cell>
          <cell r="E78" t="str">
            <v>m</v>
          </cell>
          <cell r="F78">
            <v>9.67211</v>
          </cell>
          <cell r="G78">
            <v>9.67211</v>
          </cell>
          <cell r="H78">
            <v>9.67211</v>
          </cell>
          <cell r="I78">
            <v>0</v>
          </cell>
          <cell r="J78">
            <v>11.368</v>
          </cell>
          <cell r="K78">
            <v>11.368</v>
          </cell>
          <cell r="L78">
            <v>11.368</v>
          </cell>
          <cell r="W78" t="str">
            <v>M3508</v>
          </cell>
          <cell r="X78" t="str">
            <v>Material retirado da pista - camada granular (base) - Caminhão basculante 6 m³</v>
          </cell>
          <cell r="Y78" t="str">
            <v>m³</v>
          </cell>
          <cell r="Z78">
            <v>0</v>
          </cell>
          <cell r="AA78">
            <v>0</v>
          </cell>
          <cell r="BC78" t="str">
            <v>M3508</v>
          </cell>
          <cell r="BD78" t="str">
            <v>Material retirado da pista - camada granular (base) - Caminhão basculante 6 m³</v>
          </cell>
          <cell r="BE78" t="str">
            <v>m³</v>
          </cell>
          <cell r="BF78">
            <v>0</v>
          </cell>
          <cell r="BG78">
            <v>0</v>
          </cell>
          <cell r="CC78">
            <v>0</v>
          </cell>
          <cell r="CD78" t="str">
            <v>Pintura de faixa - tinta base acrílica - espessura de 0,6 mm</v>
          </cell>
          <cell r="CE78" t="str">
            <v>m²</v>
          </cell>
          <cell r="CF78" t="str">
            <v>2 faixas cont. + 1 faixa não cont.</v>
          </cell>
          <cell r="CG78">
            <v>4.4871794871794872E-2</v>
          </cell>
          <cell r="CH78">
            <v>1</v>
          </cell>
          <cell r="CI78">
            <v>5213401</v>
          </cell>
          <cell r="CJ78">
            <v>20.390807290896916</v>
          </cell>
          <cell r="CK78">
            <v>1.2018158822830236</v>
          </cell>
          <cell r="CL78">
            <v>5213401</v>
          </cell>
          <cell r="CM78">
            <v>22.71825438768407</v>
          </cell>
          <cell r="CN78">
            <v>1.3389935254330845</v>
          </cell>
          <cell r="DN78" t="str">
            <v>Gerência Financeira</v>
          </cell>
          <cell r="DO78">
            <v>0</v>
          </cell>
          <cell r="DP78">
            <v>0</v>
          </cell>
          <cell r="DQ78">
            <v>0</v>
          </cell>
          <cell r="DR78">
            <v>0</v>
          </cell>
          <cell r="DS78">
            <v>0</v>
          </cell>
        </row>
        <row r="79">
          <cell r="B79">
            <v>96985</v>
          </cell>
          <cell r="C79" t="str">
            <v>SINAPI</v>
          </cell>
          <cell r="D79" t="str">
            <v>HASTE DE ATERRAMENO - Ø5/8" X 2400 MM</v>
          </cell>
          <cell r="E79" t="str">
            <v xml:space="preserve">un </v>
          </cell>
          <cell r="F79">
            <v>54.149200999999998</v>
          </cell>
          <cell r="G79">
            <v>54.149200999999998</v>
          </cell>
          <cell r="H79">
            <v>54.149200999999998</v>
          </cell>
          <cell r="I79">
            <v>0</v>
          </cell>
          <cell r="J79">
            <v>61.004481999999996</v>
          </cell>
          <cell r="K79">
            <v>61.004481999999996</v>
          </cell>
          <cell r="L79">
            <v>61.004481999999996</v>
          </cell>
          <cell r="W79" t="str">
            <v>E9762</v>
          </cell>
          <cell r="X79" t="str">
            <v>Rolo compactador de pneus autopropelido de 27 t - 85 kW</v>
          </cell>
          <cell r="Y79" t="str">
            <v>h</v>
          </cell>
          <cell r="Z79">
            <v>146.3005</v>
          </cell>
          <cell r="AA79">
            <v>70.745999999999995</v>
          </cell>
          <cell r="BC79" t="str">
            <v>E9762</v>
          </cell>
          <cell r="BD79" t="str">
            <v>Rolo compactador de pneus autopropelido de 27 t - 85 kW</v>
          </cell>
          <cell r="BE79" t="str">
            <v>h</v>
          </cell>
          <cell r="BF79">
            <v>143.75190000000001</v>
          </cell>
          <cell r="BG79">
            <v>69.095699999999994</v>
          </cell>
          <cell r="CC79">
            <v>0</v>
          </cell>
          <cell r="CD79" t="str">
            <v>Tacha refletiva monodirecional - fornecimento e colocação</v>
          </cell>
          <cell r="CE79" t="str">
            <v>un</v>
          </cell>
          <cell r="CF79" t="str">
            <v>3 / 16m / 7,8m largura</v>
          </cell>
          <cell r="CG79">
            <v>2.403846153846154E-2</v>
          </cell>
          <cell r="CH79">
            <v>1</v>
          </cell>
          <cell r="CI79">
            <v>5213359</v>
          </cell>
          <cell r="CJ79">
            <v>12.189996472111552</v>
          </cell>
          <cell r="CK79">
            <v>0.38489327803169532</v>
          </cell>
          <cell r="CL79">
            <v>5213359</v>
          </cell>
          <cell r="CM79">
            <v>14.739324009960159</v>
          </cell>
          <cell r="CN79">
            <v>0.46538706940102564</v>
          </cell>
          <cell r="DN79" t="str">
            <v>Gerente Financeiro</v>
          </cell>
          <cell r="DO79">
            <v>19529.240000000002</v>
          </cell>
          <cell r="DP79">
            <v>21481.01</v>
          </cell>
          <cell r="DQ79">
            <v>1.0335248790636142</v>
          </cell>
          <cell r="DR79">
            <v>20183.9554092043</v>
          </cell>
          <cell r="DS79">
            <v>16061.643951480963</v>
          </cell>
        </row>
        <row r="80">
          <cell r="B80">
            <v>97737</v>
          </cell>
          <cell r="C80" t="str">
            <v>SINAPI</v>
          </cell>
          <cell r="D80" t="str">
            <v>PEÇA RETANGULAR PRÉ-MOLDADA, VOLUME DE CONCRETO DE 30 A 70 LITROS , TAXA DE AÇO APROXIMADA DE 70KG/M³</v>
          </cell>
          <cell r="E80" t="str">
            <v>m³</v>
          </cell>
          <cell r="F80">
            <v>2639.8956660000003</v>
          </cell>
          <cell r="G80">
            <v>2639.8956660000003</v>
          </cell>
          <cell r="H80">
            <v>2639.8956660000003</v>
          </cell>
          <cell r="I80">
            <v>0</v>
          </cell>
          <cell r="J80">
            <v>2949.2473060000002</v>
          </cell>
          <cell r="K80">
            <v>2949.2473060000002</v>
          </cell>
          <cell r="L80">
            <v>2949.2473060000002</v>
          </cell>
          <cell r="W80">
            <v>4016096</v>
          </cell>
          <cell r="X80" t="str">
            <v xml:space="preserve">Escavação e carga de material de jazida com escavadeira hidráulica </v>
          </cell>
          <cell r="Y80" t="str">
            <v>m³</v>
          </cell>
          <cell r="Z80">
            <v>1.07</v>
          </cell>
          <cell r="AA80">
            <v>0</v>
          </cell>
          <cell r="BC80">
            <v>4016096</v>
          </cell>
          <cell r="BD80" t="str">
            <v xml:space="preserve">Escavação e carga de material de jazida com escavadeira hidráulica </v>
          </cell>
          <cell r="BE80" t="str">
            <v>m³</v>
          </cell>
          <cell r="BF80">
            <v>1.05</v>
          </cell>
          <cell r="BG80">
            <v>0</v>
          </cell>
          <cell r="CC80">
            <v>0</v>
          </cell>
          <cell r="CD80" t="str">
            <v>Tacha refletiva metálica com dois pinos - bidirecional - fornecimento e colocação</v>
          </cell>
          <cell r="CE80" t="str">
            <v>un</v>
          </cell>
          <cell r="CF80" t="str">
            <v>não aplicada</v>
          </cell>
          <cell r="CG80">
            <v>0</v>
          </cell>
          <cell r="CH80">
            <v>1</v>
          </cell>
          <cell r="CI80">
            <v>5213395</v>
          </cell>
          <cell r="CJ80">
            <v>32.534966247709477</v>
          </cell>
          <cell r="CK80">
            <v>0</v>
          </cell>
          <cell r="CL80">
            <v>5213395</v>
          </cell>
          <cell r="CM80">
            <v>34.530034902548728</v>
          </cell>
          <cell r="CN80">
            <v>0</v>
          </cell>
          <cell r="DN80" t="str">
            <v>Seção de Finanças</v>
          </cell>
          <cell r="DO80">
            <v>0</v>
          </cell>
          <cell r="DP80">
            <v>0</v>
          </cell>
          <cell r="DQ80">
            <v>0</v>
          </cell>
          <cell r="DR80">
            <v>0</v>
          </cell>
          <cell r="DS80">
            <v>0</v>
          </cell>
        </row>
        <row r="81">
          <cell r="B81" t="str">
            <v>73769/002</v>
          </cell>
          <cell r="C81" t="str">
            <v>SINAPI</v>
          </cell>
          <cell r="D81" t="str">
            <v>Poste de aço conico contínuo curvo simples, flangeado, com janela de inspeção h=9m - fornecimento e instalacao</v>
          </cell>
          <cell r="E81" t="str">
            <v>un</v>
          </cell>
          <cell r="F81">
            <v>1223.1399999999999</v>
          </cell>
          <cell r="G81">
            <v>1223.1399999999999</v>
          </cell>
          <cell r="H81">
            <v>1223.1399999999999</v>
          </cell>
          <cell r="I81">
            <v>0</v>
          </cell>
          <cell r="J81">
            <v>1231.05</v>
          </cell>
          <cell r="K81">
            <v>1231.05</v>
          </cell>
          <cell r="L81">
            <v>1231.05</v>
          </cell>
          <cell r="W81">
            <v>4016096</v>
          </cell>
          <cell r="X81" t="str">
            <v>Escavação e carga de material de jazida com escavadeira hidráulica  - Caminhão basculante 10 m³</v>
          </cell>
          <cell r="Y81" t="str">
            <v>m³</v>
          </cell>
          <cell r="Z81">
            <v>1.07</v>
          </cell>
          <cell r="AA81">
            <v>0</v>
          </cell>
          <cell r="BC81">
            <v>4016096</v>
          </cell>
          <cell r="BD81" t="str">
            <v>Escavação e carga de material de jazida com escavadeira hidráulica  - Caminhão basculante 10 m³</v>
          </cell>
          <cell r="BE81" t="str">
            <v>m³</v>
          </cell>
          <cell r="BF81">
            <v>1.05</v>
          </cell>
          <cell r="BG81">
            <v>0</v>
          </cell>
          <cell r="CC81" t="str">
            <v>MICRO</v>
          </cell>
          <cell r="CD81" t="str">
            <v xml:space="preserve"> (1,6cm) MICRO REVESTIMENTO C/ POLÍMERO</v>
          </cell>
          <cell r="CE81">
            <v>0</v>
          </cell>
          <cell r="CF81">
            <v>0</v>
          </cell>
          <cell r="CG81">
            <v>0</v>
          </cell>
          <cell r="CH81">
            <v>0</v>
          </cell>
          <cell r="CI81">
            <v>0</v>
          </cell>
          <cell r="CJ81">
            <v>0</v>
          </cell>
          <cell r="CK81">
            <v>20.208004561336757</v>
          </cell>
          <cell r="CL81">
            <v>0</v>
          </cell>
          <cell r="CM81">
            <v>0</v>
          </cell>
          <cell r="CN81">
            <v>20.883722641758734</v>
          </cell>
          <cell r="DN81" t="str">
            <v>Analista Financeiro</v>
          </cell>
          <cell r="DO81">
            <v>2925.55</v>
          </cell>
          <cell r="DP81">
            <v>3396.75</v>
          </cell>
          <cell r="DQ81">
            <v>1.0335248790636142</v>
          </cell>
          <cell r="DR81">
            <v>3023.6287099445567</v>
          </cell>
          <cell r="DS81">
            <v>3121.0415875691901</v>
          </cell>
        </row>
        <row r="82">
          <cell r="B82" t="str">
            <v>73769/003</v>
          </cell>
          <cell r="C82" t="str">
            <v>SINAPI</v>
          </cell>
          <cell r="D82" t="str">
            <v>BRAÇO RETO, GALVANIZADO A FOGO, DIÂMETRO DE 60,30 MM, # 2,65 MM, PROJEÇÃO HORIZONTAL DE 1.500,0 MM E PROJEÇÃO VERTICAL DE 210,0 MM</v>
          </cell>
          <cell r="E82" t="str">
            <v xml:space="preserve">un </v>
          </cell>
          <cell r="F82">
            <v>1259.0899999999999</v>
          </cell>
          <cell r="G82">
            <v>1259.0899999999999</v>
          </cell>
          <cell r="H82">
            <v>1259.0899999999999</v>
          </cell>
          <cell r="I82">
            <v>0</v>
          </cell>
          <cell r="J82">
            <v>1267</v>
          </cell>
          <cell r="K82">
            <v>1267</v>
          </cell>
          <cell r="L82">
            <v>1267</v>
          </cell>
          <cell r="W82" t="str">
            <v>E9514</v>
          </cell>
          <cell r="X82" t="str">
            <v>Distribuidor de agregados autopropelido - 130 kW</v>
          </cell>
          <cell r="Y82" t="str">
            <v>h</v>
          </cell>
          <cell r="Z82">
            <v>186.40100000000001</v>
          </cell>
          <cell r="AA82">
            <v>83.690100000000001</v>
          </cell>
          <cell r="BC82" t="str">
            <v>E9514</v>
          </cell>
          <cell r="BD82" t="str">
            <v>Distribuidor de agregados autopropelido - 130 kW</v>
          </cell>
          <cell r="BE82" t="str">
            <v>h</v>
          </cell>
          <cell r="BF82">
            <v>183.73869999999999</v>
          </cell>
          <cell r="BG82">
            <v>82.177099999999996</v>
          </cell>
          <cell r="CC82" t="str">
            <v>(m²)</v>
          </cell>
          <cell r="CD82" t="str">
            <v>Micro revestimento a frio com emulsão modificada com polímero de 16mm - brita comercial</v>
          </cell>
          <cell r="CE82" t="str">
            <v>m²</v>
          </cell>
          <cell r="CF82" t="str">
            <v>1m²/m²</v>
          </cell>
          <cell r="CG82">
            <v>1</v>
          </cell>
          <cell r="CH82">
            <v>1</v>
          </cell>
          <cell r="CI82">
            <v>4011410</v>
          </cell>
          <cell r="CJ82">
            <v>2.2145269126506024</v>
          </cell>
          <cell r="CK82">
            <v>2.908781099766566</v>
          </cell>
          <cell r="CL82">
            <v>4011410</v>
          </cell>
          <cell r="CM82">
            <v>2.2258629804216872</v>
          </cell>
          <cell r="CN82">
            <v>2.9236710247838857</v>
          </cell>
          <cell r="DN82" t="str">
            <v>Assistente Financeiro</v>
          </cell>
          <cell r="DO82">
            <v>2071.96</v>
          </cell>
          <cell r="DP82">
            <v>2558.64</v>
          </cell>
          <cell r="DQ82">
            <v>1.0335248790636142</v>
          </cell>
          <cell r="DR82">
            <v>2141.4222084246462</v>
          </cell>
          <cell r="DS82">
            <v>2455.7696647730254</v>
          </cell>
        </row>
        <row r="83">
          <cell r="B83" t="str">
            <v>73769/004</v>
          </cell>
          <cell r="C83" t="str">
            <v>SINAPI</v>
          </cell>
          <cell r="D83" t="str">
            <v>Poste de aco conico continuo reto, flangeado, h=9m - fornecimento e instalacao</v>
          </cell>
          <cell r="E83" t="str">
            <v>un</v>
          </cell>
          <cell r="F83">
            <v>1270.29</v>
          </cell>
          <cell r="G83">
            <v>1270.29</v>
          </cell>
          <cell r="H83">
            <v>1270.29</v>
          </cell>
          <cell r="I83">
            <v>0</v>
          </cell>
          <cell r="J83">
            <v>1278.2</v>
          </cell>
          <cell r="K83">
            <v>1278.2</v>
          </cell>
          <cell r="L83">
            <v>1278.2</v>
          </cell>
          <cell r="W83" t="str">
            <v>E9530</v>
          </cell>
          <cell r="X83" t="str">
            <v>Rolo compactador liso autopropelido vibratório de 11 t - 97 kW</v>
          </cell>
          <cell r="Y83" t="str">
            <v>h</v>
          </cell>
          <cell r="Z83">
            <v>137.25399999999999</v>
          </cell>
          <cell r="AA83">
            <v>62.244399999999999</v>
          </cell>
          <cell r="BC83" t="str">
            <v>E9530</v>
          </cell>
          <cell r="BD83" t="str">
            <v>Rolo compactador liso autopropelido vibratório de 11 t - 97 kW</v>
          </cell>
          <cell r="BE83" t="str">
            <v>h</v>
          </cell>
          <cell r="BF83">
            <v>134.8263</v>
          </cell>
          <cell r="BG83">
            <v>60.716999999999999</v>
          </cell>
          <cell r="CC83">
            <v>0</v>
          </cell>
          <cell r="CD83" t="str">
            <v>Fornecimento de Material Betuminoso c/ polímero SBS</v>
          </cell>
          <cell r="CE83" t="str">
            <v>t</v>
          </cell>
          <cell r="CF83" t="str">
            <v>0,0032t/m²</v>
          </cell>
          <cell r="CG83">
            <v>3.2000000000000002E-3</v>
          </cell>
          <cell r="CH83">
            <v>1</v>
          </cell>
          <cell r="CI83" t="str">
            <v>CPU10</v>
          </cell>
          <cell r="CJ83">
            <v>4481.4349761078774</v>
          </cell>
          <cell r="CK83">
            <v>14.340591923545208</v>
          </cell>
          <cell r="CL83" t="str">
            <v>CPU10-1</v>
          </cell>
          <cell r="CM83">
            <v>4614.4401264709131</v>
          </cell>
          <cell r="CN83">
            <v>14.766208404706923</v>
          </cell>
          <cell r="DN83" t="str">
            <v>Analista de Arrecadação</v>
          </cell>
          <cell r="DO83">
            <v>3284.45</v>
          </cell>
          <cell r="DP83">
            <v>3711.85</v>
          </cell>
          <cell r="DQ83">
            <v>1.0335248790636142</v>
          </cell>
          <cell r="DR83">
            <v>3394.5607890404876</v>
          </cell>
          <cell r="DS83">
            <v>3400.7614684154319</v>
          </cell>
        </row>
        <row r="84">
          <cell r="B84" t="str">
            <v>74166/001</v>
          </cell>
          <cell r="C84" t="str">
            <v>SINAPI</v>
          </cell>
          <cell r="D84" t="str">
            <v>CAIXA DE PASSAGEM E TAMPA PRÉ-MOLDADAS EM CONCRETO, 60X60CM</v>
          </cell>
          <cell r="E84" t="str">
            <v xml:space="preserve">un </v>
          </cell>
          <cell r="F84">
            <v>205.05495999999999</v>
          </cell>
          <cell r="G84">
            <v>205.05495999999999</v>
          </cell>
          <cell r="H84">
            <v>205.05495999999999</v>
          </cell>
          <cell r="I84">
            <v>0</v>
          </cell>
          <cell r="J84">
            <v>227.79785999999999</v>
          </cell>
          <cell r="K84">
            <v>227.79785999999999</v>
          </cell>
          <cell r="L84">
            <v>227.79785999999999</v>
          </cell>
          <cell r="W84" t="str">
            <v>M0808</v>
          </cell>
          <cell r="X84" t="str">
            <v>Brita 4 (rachinha)</v>
          </cell>
          <cell r="Y84" t="str">
            <v>m³</v>
          </cell>
          <cell r="Z84">
            <v>78.053299999999993</v>
          </cell>
          <cell r="AA84">
            <v>0</v>
          </cell>
          <cell r="BC84" t="str">
            <v>M0808</v>
          </cell>
          <cell r="BD84" t="str">
            <v>Brita 4 (rachinha)</v>
          </cell>
          <cell r="BE84" t="str">
            <v>m³</v>
          </cell>
          <cell r="BF84">
            <v>63.471299999999999</v>
          </cell>
          <cell r="BG84">
            <v>0</v>
          </cell>
          <cell r="CC84">
            <v>0</v>
          </cell>
          <cell r="CD84" t="str">
            <v>Pintura de ligação</v>
          </cell>
          <cell r="CE84" t="str">
            <v>m²</v>
          </cell>
          <cell r="CF84">
            <v>1</v>
          </cell>
          <cell r="CG84">
            <v>1</v>
          </cell>
          <cell r="CH84">
            <v>1</v>
          </cell>
          <cell r="CI84">
            <v>4011353</v>
          </cell>
          <cell r="CJ84">
            <v>0.18392808219669335</v>
          </cell>
          <cell r="CK84">
            <v>0.24158953596535671</v>
          </cell>
          <cell r="CL84">
            <v>4011353</v>
          </cell>
          <cell r="CM84">
            <v>0.18912484066666665</v>
          </cell>
          <cell r="CN84">
            <v>0.24841547821566662</v>
          </cell>
          <cell r="DN84" t="str">
            <v>Seção de Contabilidade</v>
          </cell>
          <cell r="DO84">
            <v>0</v>
          </cell>
          <cell r="DP84">
            <v>0</v>
          </cell>
          <cell r="DQ84">
            <v>0</v>
          </cell>
          <cell r="DR84">
            <v>0</v>
          </cell>
          <cell r="DS84">
            <v>0</v>
          </cell>
        </row>
        <row r="85">
          <cell r="B85" t="str">
            <v>74231/001</v>
          </cell>
          <cell r="C85" t="str">
            <v>SINAPI</v>
          </cell>
          <cell r="D85" t="str">
            <v>LUMINÁRIA PARA ILUMINAÇÃO PÚBLICA A LED, POTÊNCIA DE 190 W 220-240V</v>
          </cell>
          <cell r="E85" t="str">
            <v xml:space="preserve">un </v>
          </cell>
          <cell r="F85">
            <v>151.54999999999998</v>
          </cell>
          <cell r="G85">
            <v>151.54999999999998</v>
          </cell>
          <cell r="H85">
            <v>151.54999999999998</v>
          </cell>
          <cell r="I85">
            <v>0</v>
          </cell>
          <cell r="J85">
            <v>156.26999999999998</v>
          </cell>
          <cell r="K85">
            <v>156.26999999999998</v>
          </cell>
          <cell r="L85">
            <v>156.26999999999998</v>
          </cell>
          <cell r="W85" t="str">
            <v>M1103</v>
          </cell>
          <cell r="X85" t="str">
            <v>Pedrisco</v>
          </cell>
          <cell r="Y85" t="str">
            <v>m³</v>
          </cell>
          <cell r="Z85">
            <v>87.003299999999996</v>
          </cell>
          <cell r="AA85">
            <v>0</v>
          </cell>
          <cell r="BC85" t="str">
            <v>M1103</v>
          </cell>
          <cell r="BD85" t="str">
            <v>Pedrisco</v>
          </cell>
          <cell r="BE85" t="str">
            <v>m³</v>
          </cell>
          <cell r="BF85">
            <v>78.105699999999999</v>
          </cell>
          <cell r="BG85">
            <v>0</v>
          </cell>
          <cell r="CC85">
            <v>0</v>
          </cell>
          <cell r="CD85" t="str">
            <v>Fornecimento de emulsão RR-1C</v>
          </cell>
          <cell r="CE85" t="str">
            <v>t</v>
          </cell>
          <cell r="CF85" t="str">
            <v>0,00045 t</v>
          </cell>
          <cell r="CG85">
            <v>4.4999999999999999E-4</v>
          </cell>
          <cell r="CH85">
            <v>1</v>
          </cell>
          <cell r="CI85" t="str">
            <v>CPU04</v>
          </cell>
          <cell r="CJ85">
            <v>2511.8507594331254</v>
          </cell>
          <cell r="CK85">
            <v>1.1303328417449063</v>
          </cell>
          <cell r="CL85" t="str">
            <v>CPU04-1</v>
          </cell>
          <cell r="CM85">
            <v>2535.6603093736671</v>
          </cell>
          <cell r="CN85">
            <v>1.1410471392181503</v>
          </cell>
          <cell r="DN85" t="str">
            <v>Contador</v>
          </cell>
          <cell r="DO85">
            <v>3284.45</v>
          </cell>
          <cell r="DP85">
            <v>3711.85</v>
          </cell>
          <cell r="DQ85">
            <v>1.0335248790636142</v>
          </cell>
          <cell r="DR85">
            <v>3394.5607890404876</v>
          </cell>
          <cell r="DS85">
            <v>3400.7614684154319</v>
          </cell>
        </row>
        <row r="86">
          <cell r="B86">
            <v>5213363</v>
          </cell>
          <cell r="C86" t="str">
            <v>SICRO</v>
          </cell>
          <cell r="D86" t="str">
            <v>Recuperação de chapa para placa de sinalização</v>
          </cell>
          <cell r="E86" t="str">
            <v>m²</v>
          </cell>
          <cell r="F86">
            <v>43.037329873333334</v>
          </cell>
          <cell r="G86">
            <v>43.037329873333334</v>
          </cell>
          <cell r="H86">
            <v>43.037329873333334</v>
          </cell>
          <cell r="I86">
            <v>0</v>
          </cell>
          <cell r="J86">
            <v>45.664296180000001</v>
          </cell>
          <cell r="K86">
            <v>45.664296180000001</v>
          </cell>
          <cell r="L86">
            <v>45.664296180000001</v>
          </cell>
          <cell r="W86" t="str">
            <v>M1135</v>
          </cell>
          <cell r="X86" t="str">
            <v>Pó de pedra</v>
          </cell>
          <cell r="Y86" t="str">
            <v>m³</v>
          </cell>
          <cell r="Z86">
            <v>58.9133</v>
          </cell>
          <cell r="AA86">
            <v>0</v>
          </cell>
          <cell r="BC86" t="str">
            <v>M1135</v>
          </cell>
          <cell r="BD86" t="str">
            <v>Pó de pedra</v>
          </cell>
          <cell r="BE86" t="str">
            <v>m³</v>
          </cell>
          <cell r="BF86">
            <v>60.621299999999998</v>
          </cell>
          <cell r="BG86">
            <v>0</v>
          </cell>
          <cell r="CC86">
            <v>0</v>
          </cell>
          <cell r="CD86" t="str">
            <v>Pintura de faixa - tinta base acrílica - espessura de 0,6 mm</v>
          </cell>
          <cell r="CE86" t="str">
            <v>m²</v>
          </cell>
          <cell r="CF86" t="str">
            <v>2 faixas cont. + 1 faixa não cont.</v>
          </cell>
          <cell r="CG86">
            <v>4.4871794871794872E-2</v>
          </cell>
          <cell r="CH86">
            <v>1</v>
          </cell>
          <cell r="CI86">
            <v>5213401</v>
          </cell>
          <cell r="CJ86">
            <v>20.390807290896916</v>
          </cell>
          <cell r="CK86">
            <v>1.2018158822830236</v>
          </cell>
          <cell r="CL86">
            <v>5213401</v>
          </cell>
          <cell r="CM86">
            <v>22.71825438768407</v>
          </cell>
          <cell r="CN86">
            <v>1.3389935254330845</v>
          </cell>
          <cell r="DN86" t="str">
            <v>Técnico em Contabilidade</v>
          </cell>
          <cell r="DO86">
            <v>6415.81</v>
          </cell>
          <cell r="DP86">
            <v>7283.33</v>
          </cell>
          <cell r="DQ86">
            <v>1.0335248790636142</v>
          </cell>
          <cell r="DR86">
            <v>6630.8992543451268</v>
          </cell>
          <cell r="DS86">
            <v>5841.2843051016598</v>
          </cell>
        </row>
        <row r="87">
          <cell r="B87">
            <v>307732</v>
          </cell>
          <cell r="C87" t="str">
            <v>SICRO</v>
          </cell>
          <cell r="D87" t="str">
            <v>Aparelho de apoio de neoprene fretado para estruturas pré-moldadas - fornecimento e instalação</v>
          </cell>
          <cell r="E87" t="str">
            <v>dm³</v>
          </cell>
          <cell r="F87">
            <v>64.412937333333332</v>
          </cell>
          <cell r="G87">
            <v>64.412937333333332</v>
          </cell>
          <cell r="H87">
            <v>64.412937333333332</v>
          </cell>
          <cell r="I87">
            <v>0</v>
          </cell>
          <cell r="J87">
            <v>64.694617999999991</v>
          </cell>
          <cell r="K87">
            <v>64.694617999999991</v>
          </cell>
          <cell r="L87">
            <v>64.694617999999991</v>
          </cell>
          <cell r="W87" t="str">
            <v>M0808</v>
          </cell>
          <cell r="X87" t="str">
            <v>Brita 4 (rachinha) - Caminhão basculante 10 m³</v>
          </cell>
          <cell r="Y87" t="str">
            <v>m³</v>
          </cell>
          <cell r="Z87">
            <v>78.053299999999993</v>
          </cell>
          <cell r="AA87">
            <v>0</v>
          </cell>
          <cell r="BC87" t="str">
            <v>M0808</v>
          </cell>
          <cell r="BD87" t="str">
            <v>Brita 4 (rachinha) - Caminhão basculante 10 m³</v>
          </cell>
          <cell r="BE87" t="str">
            <v>m³</v>
          </cell>
          <cell r="BF87">
            <v>63.471299999999999</v>
          </cell>
          <cell r="BG87">
            <v>0</v>
          </cell>
          <cell r="CC87">
            <v>0</v>
          </cell>
          <cell r="CD87" t="str">
            <v>Tacha refletiva monodirecional - fornecimento e colocação</v>
          </cell>
          <cell r="CE87" t="str">
            <v>un</v>
          </cell>
          <cell r="CF87" t="str">
            <v>3 / 16m / 7,8m largura</v>
          </cell>
          <cell r="CG87">
            <v>2.403846153846154E-2</v>
          </cell>
          <cell r="CH87">
            <v>1</v>
          </cell>
          <cell r="CI87">
            <v>5213359</v>
          </cell>
          <cell r="CJ87">
            <v>12.189996472111552</v>
          </cell>
          <cell r="CK87">
            <v>0.38489327803169532</v>
          </cell>
          <cell r="CL87">
            <v>5213359</v>
          </cell>
          <cell r="CM87">
            <v>14.739324009960159</v>
          </cell>
          <cell r="CN87">
            <v>0.46538706940102564</v>
          </cell>
          <cell r="DN87" t="str">
            <v>Auxiliar Administrativo</v>
          </cell>
          <cell r="DO87">
            <v>1574.24</v>
          </cell>
          <cell r="DP87">
            <v>1700.83</v>
          </cell>
          <cell r="DQ87">
            <v>1.0335248790636142</v>
          </cell>
          <cell r="DR87">
            <v>1627.0162056171041</v>
          </cell>
          <cell r="DS87">
            <v>2067.8560980558582</v>
          </cell>
        </row>
        <row r="88">
          <cell r="B88">
            <v>307817</v>
          </cell>
          <cell r="C88" t="str">
            <v>SICRO</v>
          </cell>
          <cell r="D88" t="str">
            <v>Apoio de neoprene fretado 150 x 200 x 35 mm com capacidade de 300 KN para estruturas pré-moldadas - fornecimento e instalação</v>
          </cell>
          <cell r="E88" t="str">
            <v>un</v>
          </cell>
          <cell r="F88">
            <v>83.49495193333334</v>
          </cell>
          <cell r="G88">
            <v>83.49495193333334</v>
          </cell>
          <cell r="H88">
            <v>83.49495193333334</v>
          </cell>
          <cell r="I88">
            <v>0</v>
          </cell>
          <cell r="J88">
            <v>83.4609612</v>
          </cell>
          <cell r="K88">
            <v>83.4609612</v>
          </cell>
          <cell r="L88">
            <v>83.4609612</v>
          </cell>
          <cell r="W88" t="str">
            <v>M1103</v>
          </cell>
          <cell r="X88" t="str">
            <v>Pedrisco - Caminhão basculante 10 m³</v>
          </cell>
          <cell r="Y88" t="str">
            <v>m³</v>
          </cell>
          <cell r="Z88">
            <v>87.003299999999996</v>
          </cell>
          <cell r="AA88">
            <v>0</v>
          </cell>
          <cell r="BC88" t="str">
            <v>M1103</v>
          </cell>
          <cell r="BD88" t="str">
            <v>Pedrisco - Caminhão basculante 10 m³</v>
          </cell>
          <cell r="BE88" t="str">
            <v>m³</v>
          </cell>
          <cell r="BF88">
            <v>78.105699999999999</v>
          </cell>
          <cell r="BG88">
            <v>0</v>
          </cell>
          <cell r="CC88">
            <v>0</v>
          </cell>
          <cell r="CD88" t="str">
            <v>Tacha refletiva metálica com dois pinos - bidirecional - fornecimento e colocação</v>
          </cell>
          <cell r="CE88" t="str">
            <v>un</v>
          </cell>
          <cell r="CF88" t="str">
            <v>não aplicada</v>
          </cell>
          <cell r="CG88">
            <v>0</v>
          </cell>
          <cell r="CH88">
            <v>1</v>
          </cell>
          <cell r="CI88">
            <v>5213395</v>
          </cell>
          <cell r="CJ88">
            <v>32.534966247709477</v>
          </cell>
          <cell r="CK88">
            <v>0</v>
          </cell>
          <cell r="CL88">
            <v>5213395</v>
          </cell>
          <cell r="CM88">
            <v>34.530034902548728</v>
          </cell>
          <cell r="CN88">
            <v>0</v>
          </cell>
          <cell r="DN88" t="str">
            <v>Diretoria de Operações</v>
          </cell>
          <cell r="DO88">
            <v>0</v>
          </cell>
          <cell r="DP88">
            <v>0</v>
          </cell>
          <cell r="DQ88">
            <v>0</v>
          </cell>
          <cell r="DR88">
            <v>0</v>
          </cell>
          <cell r="DS88">
            <v>0</v>
          </cell>
        </row>
        <row r="89">
          <cell r="B89">
            <v>307735</v>
          </cell>
          <cell r="C89" t="str">
            <v>SICRO</v>
          </cell>
          <cell r="D89" t="str">
            <v>Junta de dilatação em perfil extrudado de borracha vulcanizada de 35 x 60 mm - fornecimento e instalação</v>
          </cell>
          <cell r="E89" t="str">
            <v>m</v>
          </cell>
          <cell r="F89">
            <v>847.10419587999991</v>
          </cell>
          <cell r="G89">
            <v>847.10419587999991</v>
          </cell>
          <cell r="H89">
            <v>847.10419587999991</v>
          </cell>
          <cell r="I89">
            <v>0</v>
          </cell>
          <cell r="J89">
            <v>848.21756015999995</v>
          </cell>
          <cell r="K89">
            <v>848.21756015999995</v>
          </cell>
          <cell r="L89">
            <v>848.21756015999995</v>
          </cell>
          <cell r="W89" t="str">
            <v>M1135</v>
          </cell>
          <cell r="X89" t="str">
            <v>Pó de pedra - Caminhão basculante 10 m³</v>
          </cell>
          <cell r="Y89" t="str">
            <v>m³</v>
          </cell>
          <cell r="Z89">
            <v>58.9133</v>
          </cell>
          <cell r="AA89">
            <v>0</v>
          </cell>
          <cell r="BC89" t="str">
            <v>M1135</v>
          </cell>
          <cell r="BD89" t="str">
            <v>Pó de pedra - Caminhão basculante 10 m³</v>
          </cell>
          <cell r="BE89" t="str">
            <v>m³</v>
          </cell>
          <cell r="BF89">
            <v>60.621299999999998</v>
          </cell>
          <cell r="BG89">
            <v>0</v>
          </cell>
          <cell r="CC89" t="str">
            <v>RPS</v>
          </cell>
          <cell r="CD89" t="str">
            <v xml:space="preserve"> (4,0cm) FRESAGEM +(4,0cm) CBUQ C/ POLÍMERO</v>
          </cell>
          <cell r="CE89">
            <v>0</v>
          </cell>
          <cell r="CF89">
            <v>0</v>
          </cell>
          <cell r="CG89">
            <v>0</v>
          </cell>
          <cell r="CH89">
            <v>0</v>
          </cell>
          <cell r="CI89">
            <v>0</v>
          </cell>
          <cell r="CJ89">
            <v>0</v>
          </cell>
          <cell r="CK89">
            <v>47.762355943762813</v>
          </cell>
          <cell r="CL89">
            <v>0</v>
          </cell>
          <cell r="CM89">
            <v>0</v>
          </cell>
          <cell r="CN89">
            <v>50.287616828400473</v>
          </cell>
          <cell r="DN89" t="str">
            <v>Diretor de Operações</v>
          </cell>
          <cell r="DO89">
            <v>46562.13</v>
          </cell>
          <cell r="DP89">
            <v>52390.63</v>
          </cell>
          <cell r="DQ89">
            <v>1.0335248790636142</v>
          </cell>
          <cell r="DR89">
            <v>48123.119777194283</v>
          </cell>
          <cell r="DS89">
            <v>37130.567801382211</v>
          </cell>
        </row>
        <row r="90">
          <cell r="B90">
            <v>407818</v>
          </cell>
          <cell r="C90" t="str">
            <v>SICRO</v>
          </cell>
          <cell r="D90" t="str">
            <v>Armação em aço CA-25 - fornecimento, preparo e colocação</v>
          </cell>
          <cell r="E90" t="str">
            <v>kg</v>
          </cell>
          <cell r="F90">
            <v>8.2293182000000016</v>
          </cell>
          <cell r="G90">
            <v>8.2293182000000016</v>
          </cell>
          <cell r="H90">
            <v>8.2293182000000016</v>
          </cell>
          <cell r="I90">
            <v>0</v>
          </cell>
          <cell r="J90">
            <v>7.9953074000000006</v>
          </cell>
          <cell r="K90">
            <v>7.9953074000000006</v>
          </cell>
          <cell r="L90">
            <v>7.9953074000000006</v>
          </cell>
          <cell r="W90">
            <v>6416040</v>
          </cell>
          <cell r="X90" t="str">
            <v xml:space="preserve">Usinagem de brita graduada com brita comercial em usina de 300 t/h </v>
          </cell>
          <cell r="Y90" t="str">
            <v>m³</v>
          </cell>
          <cell r="Z90">
            <v>132.69999999999999</v>
          </cell>
          <cell r="AA90">
            <v>0</v>
          </cell>
          <cell r="BC90">
            <v>6416040</v>
          </cell>
          <cell r="BD90" t="str">
            <v xml:space="preserve">Usinagem de brita graduada com brita comercial em usina de 300 t/h </v>
          </cell>
          <cell r="BE90" t="str">
            <v>m³</v>
          </cell>
          <cell r="BF90">
            <v>112.82</v>
          </cell>
          <cell r="BG90">
            <v>0</v>
          </cell>
          <cell r="CC90" t="str">
            <v>(m²)</v>
          </cell>
          <cell r="CD90" t="str">
            <v>Fresagem descontínua de revestimento betuminoso</v>
          </cell>
          <cell r="CE90" t="str">
            <v>m³</v>
          </cell>
          <cell r="CF90">
            <v>4</v>
          </cell>
          <cell r="CG90">
            <v>0.04</v>
          </cell>
          <cell r="CH90">
            <v>1</v>
          </cell>
          <cell r="CI90">
            <v>4011480</v>
          </cell>
          <cell r="CJ90">
            <v>50.02322121102204</v>
          </cell>
          <cell r="CK90">
            <v>2.6282200424270976</v>
          </cell>
          <cell r="CL90">
            <v>4011480</v>
          </cell>
          <cell r="CM90">
            <v>50.377443150593948</v>
          </cell>
          <cell r="CN90">
            <v>2.6468308631322057</v>
          </cell>
          <cell r="DN90" t="str">
            <v>Gerência de Operações</v>
          </cell>
          <cell r="DO90">
            <v>0</v>
          </cell>
          <cell r="DP90">
            <v>0</v>
          </cell>
          <cell r="DQ90">
            <v>0</v>
          </cell>
          <cell r="DR90">
            <v>0</v>
          </cell>
          <cell r="DS90">
            <v>0</v>
          </cell>
        </row>
        <row r="91">
          <cell r="B91">
            <v>408067</v>
          </cell>
          <cell r="C91" t="str">
            <v>SICRO</v>
          </cell>
          <cell r="D91" t="str">
            <v>Tela de aço eletrosoldada - fornecimento, preparo e colocação</v>
          </cell>
          <cell r="E91" t="str">
            <v>kg</v>
          </cell>
          <cell r="F91">
            <v>5.6947724000000006</v>
          </cell>
          <cell r="G91">
            <v>5.6947724000000006</v>
          </cell>
          <cell r="H91">
            <v>5.6947724000000006</v>
          </cell>
          <cell r="I91">
            <v>0</v>
          </cell>
          <cell r="J91">
            <v>5.9113278000000014</v>
          </cell>
          <cell r="K91">
            <v>5.9113278000000014</v>
          </cell>
          <cell r="L91">
            <v>5.9113278000000014</v>
          </cell>
          <cell r="W91">
            <v>6416040</v>
          </cell>
          <cell r="X91" t="str">
            <v>Usinagem de brita graduada com brita comercial em usina de 300 t/h  - Caminhão basculante 10 m³</v>
          </cell>
          <cell r="Y91" t="str">
            <v>m³</v>
          </cell>
          <cell r="Z91">
            <v>132.69999999999999</v>
          </cell>
          <cell r="AA91">
            <v>0</v>
          </cell>
          <cell r="BC91">
            <v>6416040</v>
          </cell>
          <cell r="BD91" t="str">
            <v>Usinagem de brita graduada com brita comercial em usina de 300 t/h  - Caminhão basculante 10 m³</v>
          </cell>
          <cell r="BE91" t="str">
            <v>m³</v>
          </cell>
          <cell r="BF91">
            <v>112.82</v>
          </cell>
          <cell r="BG91">
            <v>0</v>
          </cell>
          <cell r="CC91">
            <v>0</v>
          </cell>
          <cell r="CD91" t="str">
            <v>Carga, manobra e descarga de areia, brita, pedra de mão ou solos em caminhão basculante de 10 m³ - carga com carregadeira e descarga livre</v>
          </cell>
          <cell r="CE91" t="str">
            <v>t</v>
          </cell>
          <cell r="CF91" t="str">
            <v>2,4t/m³</v>
          </cell>
          <cell r="CG91">
            <v>9.6000000000000002E-2</v>
          </cell>
          <cell r="CH91">
            <v>1</v>
          </cell>
          <cell r="CI91">
            <v>5915407</v>
          </cell>
          <cell r="CJ91">
            <v>1.6993770350671593</v>
          </cell>
          <cell r="CK91">
            <v>0.21428464661382851</v>
          </cell>
          <cell r="CL91">
            <v>5914352</v>
          </cell>
          <cell r="CM91">
            <v>9.5803793626707137</v>
          </cell>
          <cell r="CN91">
            <v>1.2080475161153263</v>
          </cell>
          <cell r="DN91" t="str">
            <v>Gerente de Operação</v>
          </cell>
          <cell r="DO91">
            <v>18736.740000000002</v>
          </cell>
          <cell r="DP91">
            <v>21179.22</v>
          </cell>
          <cell r="DQ91">
            <v>1.0335248790636142</v>
          </cell>
          <cell r="DR91">
            <v>19364.886942546385</v>
          </cell>
          <cell r="DS91">
            <v>15443.98442077423</v>
          </cell>
        </row>
        <row r="92">
          <cell r="B92">
            <v>407743</v>
          </cell>
          <cell r="C92" t="str">
            <v>SICRO</v>
          </cell>
          <cell r="D92" t="str">
            <v>Treliça nervurada três barras longitudinais interligadas por duas diagonais sinusoidal - fornecimento e instalação</v>
          </cell>
          <cell r="E92" t="str">
            <v>kg</v>
          </cell>
          <cell r="F92">
            <v>5.0536560000000001</v>
          </cell>
          <cell r="G92">
            <v>5.0536560000000001</v>
          </cell>
          <cell r="H92">
            <v>5.0536560000000001</v>
          </cell>
          <cell r="I92">
            <v>0</v>
          </cell>
          <cell r="J92">
            <v>5.1279159999999999</v>
          </cell>
          <cell r="K92">
            <v>5.1279159999999999</v>
          </cell>
          <cell r="L92">
            <v>5.1279159999999999</v>
          </cell>
          <cell r="W92">
            <v>6416042</v>
          </cell>
          <cell r="X92" t="str">
            <v xml:space="preserve">Usinagem de brita graduada tratada com cimento e brita comercial em usina de 300 t/h </v>
          </cell>
          <cell r="Y92" t="str">
            <v>m³</v>
          </cell>
          <cell r="Z92">
            <v>154.32</v>
          </cell>
          <cell r="AA92">
            <v>0</v>
          </cell>
          <cell r="BC92">
            <v>6416042</v>
          </cell>
          <cell r="BD92" t="str">
            <v xml:space="preserve">Usinagem de brita graduada tratada com cimento e brita comercial em usina de 300 t/h </v>
          </cell>
          <cell r="BE92" t="str">
            <v>m³</v>
          </cell>
          <cell r="BF92">
            <v>135.22</v>
          </cell>
          <cell r="BG92">
            <v>0</v>
          </cell>
          <cell r="CC92">
            <v>0</v>
          </cell>
          <cell r="CD92" t="str">
            <v>Transporte com caminhão basculante de 12m³ - rodovia em revestimento primário</v>
          </cell>
          <cell r="CE92" t="str">
            <v>tkm</v>
          </cell>
          <cell r="CF92" t="str">
            <v>DMT = 10km</v>
          </cell>
          <cell r="CG92">
            <v>0.96</v>
          </cell>
          <cell r="CH92">
            <v>1</v>
          </cell>
          <cell r="CI92">
            <v>5914335</v>
          </cell>
          <cell r="CJ92">
            <v>0.49810144567068276</v>
          </cell>
          <cell r="CK92">
            <v>0.62808599893290407</v>
          </cell>
          <cell r="CL92">
            <v>5914335</v>
          </cell>
          <cell r="CM92">
            <v>0.49824066306827308</v>
          </cell>
          <cell r="CN92">
            <v>0.62826154650256949</v>
          </cell>
          <cell r="DN92" t="str">
            <v>Engenheiro de Segurança de Trânsito</v>
          </cell>
          <cell r="DO92">
            <v>7648.11</v>
          </cell>
          <cell r="DP92">
            <v>7812.25</v>
          </cell>
          <cell r="DQ92">
            <v>1.0335248790636142</v>
          </cell>
          <cell r="DR92">
            <v>7904.5119628152179</v>
          </cell>
          <cell r="DS92">
            <v>6801.7156485589558</v>
          </cell>
        </row>
        <row r="93">
          <cell r="B93">
            <v>605655</v>
          </cell>
          <cell r="C93" t="str">
            <v>SICRO</v>
          </cell>
          <cell r="D93" t="str">
            <v>Bueiro metálico com chapas múltiplas MP 100 galvanizadas - D = 1,00 m - brita comercial</v>
          </cell>
          <cell r="E93" t="str">
            <v>m</v>
          </cell>
          <cell r="F93">
            <v>931.90797113924043</v>
          </cell>
          <cell r="G93">
            <v>931.90797113924043</v>
          </cell>
          <cell r="H93">
            <v>931.90797113924043</v>
          </cell>
          <cell r="I93">
            <v>0</v>
          </cell>
          <cell r="J93">
            <v>938.34382962025325</v>
          </cell>
          <cell r="K93">
            <v>938.34382962025325</v>
          </cell>
          <cell r="L93">
            <v>938.34382962025325</v>
          </cell>
          <cell r="W93">
            <v>6416042</v>
          </cell>
          <cell r="X93" t="str">
            <v>Usinagem de brita graduada tratada com cimento e brita comercial em usina de 300 t/h  - Caminhão basculante 10 m³</v>
          </cell>
          <cell r="Y93" t="str">
            <v>m³</v>
          </cell>
          <cell r="Z93">
            <v>154.32</v>
          </cell>
          <cell r="AA93">
            <v>0</v>
          </cell>
          <cell r="BC93">
            <v>6416042</v>
          </cell>
          <cell r="BD93" t="str">
            <v>Usinagem de brita graduada tratada com cimento e brita comercial em usina de 300 t/h  - Caminhão basculante 10 m³</v>
          </cell>
          <cell r="BE93" t="str">
            <v>m³</v>
          </cell>
          <cell r="BF93">
            <v>135.22</v>
          </cell>
          <cell r="BG93">
            <v>0</v>
          </cell>
          <cell r="CC93">
            <v>0</v>
          </cell>
          <cell r="CD93" t="str">
            <v>Concreto asfáltico com asfalto polímero - faixa C - areia e brita comerciais</v>
          </cell>
          <cell r="CE93" t="str">
            <v>t</v>
          </cell>
          <cell r="CF93">
            <v>4</v>
          </cell>
          <cell r="CG93">
            <v>9.6000000000000002E-2</v>
          </cell>
          <cell r="CH93">
            <v>1</v>
          </cell>
          <cell r="CI93">
            <v>4011466</v>
          </cell>
          <cell r="CJ93">
            <v>130.81939260452867</v>
          </cell>
          <cell r="CK93">
            <v>16.495802129860646</v>
          </cell>
          <cell r="CL93">
            <v>4011466</v>
          </cell>
          <cell r="CM93">
            <v>135.10461380032868</v>
          </cell>
          <cell r="CN93">
            <v>17.036151381766242</v>
          </cell>
          <cell r="DN93" t="str">
            <v>Assistente Técnico</v>
          </cell>
          <cell r="DO93">
            <v>2380.12</v>
          </cell>
          <cell r="DP93">
            <v>2722.59</v>
          </cell>
          <cell r="DQ93">
            <v>1.0335248790636142</v>
          </cell>
          <cell r="DR93">
            <v>2459.9132351568892</v>
          </cell>
          <cell r="DS93">
            <v>2695.9437480318102</v>
          </cell>
        </row>
        <row r="94">
          <cell r="B94">
            <v>605660</v>
          </cell>
          <cell r="C94" t="str">
            <v>SICRO</v>
          </cell>
          <cell r="D94" t="str">
            <v>Bueiro metálico com chapas múltiplas MP 100 galvanizadas - D = 1,50 m - brita comercial</v>
          </cell>
          <cell r="E94" t="str">
            <v>m</v>
          </cell>
          <cell r="F94">
            <v>1399.625315483871</v>
          </cell>
          <cell r="G94">
            <v>1399.625315483871</v>
          </cell>
          <cell r="H94">
            <v>1399.625315483871</v>
          </cell>
          <cell r="I94">
            <v>0</v>
          </cell>
          <cell r="J94">
            <v>1412.2129494009216</v>
          </cell>
          <cell r="K94">
            <v>1412.2129494009216</v>
          </cell>
          <cell r="L94">
            <v>1412.2129494009216</v>
          </cell>
          <cell r="W94" t="str">
            <v>E9509</v>
          </cell>
          <cell r="X94" t="str">
            <v>Caminhão tanque distribuidor de asfalto com capacidade de 6.000 l - 7 kW/ 136 kW</v>
          </cell>
          <cell r="Y94" t="str">
            <v>h</v>
          </cell>
          <cell r="Z94">
            <v>143.8099</v>
          </cell>
          <cell r="AA94">
            <v>48.9223</v>
          </cell>
          <cell r="BC94" t="str">
            <v>E9509</v>
          </cell>
          <cell r="BD94" t="str">
            <v>Caminhão tanque distribuidor de asfalto com capacidade de 6.000 l - 7 kW/ 136 kW</v>
          </cell>
          <cell r="BE94" t="str">
            <v>h</v>
          </cell>
          <cell r="BF94">
            <v>143.3143</v>
          </cell>
          <cell r="BG94">
            <v>49.6813</v>
          </cell>
          <cell r="CC94">
            <v>0</v>
          </cell>
          <cell r="CD94" t="str">
            <v>Fornecimento de Material Betuminoso c/ polímero SBS</v>
          </cell>
          <cell r="CE94" t="str">
            <v>t</v>
          </cell>
          <cell r="CF94" t="str">
            <v>0,057732 t</v>
          </cell>
          <cell r="CG94">
            <v>5.542272E-3</v>
          </cell>
          <cell r="CH94">
            <v>1</v>
          </cell>
          <cell r="CI94" t="str">
            <v>CPU10</v>
          </cell>
          <cell r="CJ94">
            <v>4481.4349761078774</v>
          </cell>
          <cell r="CK94">
            <v>24.837331587903357</v>
          </cell>
          <cell r="CL94" t="str">
            <v>CPU10-1</v>
          </cell>
          <cell r="CM94">
            <v>4614.4401264709131</v>
          </cell>
          <cell r="CN94">
            <v>25.574482308616201</v>
          </cell>
          <cell r="DN94" t="str">
            <v>Coordenador de Operações</v>
          </cell>
          <cell r="DO94">
            <v>9007.75</v>
          </cell>
          <cell r="DP94">
            <v>10177.91</v>
          </cell>
          <cell r="DQ94">
            <v>1.0335248790636142</v>
          </cell>
          <cell r="DR94">
            <v>9309.7337293852706</v>
          </cell>
          <cell r="DS94">
            <v>7861.3933827294322</v>
          </cell>
        </row>
        <row r="95">
          <cell r="B95">
            <v>605661</v>
          </cell>
          <cell r="C95" t="str">
            <v>SICRO</v>
          </cell>
          <cell r="D95" t="str">
            <v>Bueiro metálico com chapas múltiplas MP 100 galvanizadas - D = 1,60 m - brita comercial</v>
          </cell>
          <cell r="E95" t="str">
            <v>m</v>
          </cell>
          <cell r="F95">
            <v>1494.535207225131</v>
          </cell>
          <cell r="G95">
            <v>1494.535207225131</v>
          </cell>
          <cell r="H95">
            <v>1494.535207225131</v>
          </cell>
          <cell r="I95">
            <v>0</v>
          </cell>
          <cell r="J95">
            <v>1507.7461228272252</v>
          </cell>
          <cell r="K95">
            <v>1507.7461228272252</v>
          </cell>
          <cell r="L95">
            <v>1507.7461228272252</v>
          </cell>
          <cell r="W95" t="str">
            <v>E9558</v>
          </cell>
          <cell r="X95" t="str">
            <v>Tanque de estocagem de asfalto com capacidade de 30.000 l</v>
          </cell>
          <cell r="Y95" t="str">
            <v>h</v>
          </cell>
          <cell r="Z95">
            <v>15.553599999999999</v>
          </cell>
          <cell r="AA95">
            <v>10.600199999999999</v>
          </cell>
          <cell r="BC95" t="str">
            <v>E9558</v>
          </cell>
          <cell r="BD95" t="str">
            <v>Tanque de estocagem de asfalto com capacidade de 30.000 l</v>
          </cell>
          <cell r="BE95" t="str">
            <v>h</v>
          </cell>
          <cell r="BF95">
            <v>15.4237</v>
          </cell>
          <cell r="BG95">
            <v>10.511699999999999</v>
          </cell>
          <cell r="CC95">
            <v>0</v>
          </cell>
          <cell r="CD95" t="str">
            <v>Pintura de ligação</v>
          </cell>
          <cell r="CE95" t="str">
            <v>m²</v>
          </cell>
          <cell r="CF95">
            <v>1</v>
          </cell>
          <cell r="CG95">
            <v>1</v>
          </cell>
          <cell r="CH95">
            <v>1</v>
          </cell>
          <cell r="CI95">
            <v>4011353</v>
          </cell>
          <cell r="CJ95">
            <v>0.18392808219669335</v>
          </cell>
          <cell r="CK95">
            <v>0.24158953596535671</v>
          </cell>
          <cell r="CL95">
            <v>4011353</v>
          </cell>
          <cell r="CM95">
            <v>0.18912484066666665</v>
          </cell>
          <cell r="CN95">
            <v>0.24841547821566662</v>
          </cell>
          <cell r="DN95" t="str">
            <v>Gerência de Tecnologia</v>
          </cell>
          <cell r="DO95">
            <v>0</v>
          </cell>
          <cell r="DP95">
            <v>0</v>
          </cell>
          <cell r="DQ95">
            <v>0</v>
          </cell>
          <cell r="DR95">
            <v>0</v>
          </cell>
          <cell r="DS95">
            <v>0</v>
          </cell>
        </row>
        <row r="96">
          <cell r="B96">
            <v>605663</v>
          </cell>
          <cell r="C96" t="str">
            <v>SICRO</v>
          </cell>
          <cell r="D96" t="str">
            <v>Bueiro metálico com chapas múltiplas MP 100 galvanizadas - D = 1,80 m - brita comercial</v>
          </cell>
          <cell r="E96" t="str">
            <v>m</v>
          </cell>
          <cell r="F96">
            <v>1785.0614624161074</v>
          </cell>
          <cell r="G96">
            <v>1785.0614624161074</v>
          </cell>
          <cell r="H96">
            <v>1785.0614624161074</v>
          </cell>
          <cell r="I96">
            <v>0</v>
          </cell>
          <cell r="J96">
            <v>1804.2785067114094</v>
          </cell>
          <cell r="K96">
            <v>1804.2785067114094</v>
          </cell>
          <cell r="L96">
            <v>1804.2785067114094</v>
          </cell>
          <cell r="W96" t="str">
            <v>E9544</v>
          </cell>
          <cell r="X96" t="str">
            <v>Vassoura mecânica rebocável</v>
          </cell>
          <cell r="Y96" t="str">
            <v>h</v>
          </cell>
          <cell r="Z96">
            <v>5.9745999999999997</v>
          </cell>
          <cell r="AA96">
            <v>3.8408000000000002</v>
          </cell>
          <cell r="BC96" t="str">
            <v>E9544</v>
          </cell>
          <cell r="BD96" t="str">
            <v>Vassoura mecânica rebocável</v>
          </cell>
          <cell r="BE96" t="str">
            <v>h</v>
          </cell>
          <cell r="BF96">
            <v>5.9419000000000004</v>
          </cell>
          <cell r="BG96">
            <v>3.8197999999999999</v>
          </cell>
          <cell r="CC96">
            <v>0</v>
          </cell>
          <cell r="CD96" t="str">
            <v>Fornecimento de emulsão RR-1C</v>
          </cell>
          <cell r="CE96" t="str">
            <v>t</v>
          </cell>
          <cell r="CF96" t="str">
            <v>0,00045 t</v>
          </cell>
          <cell r="CG96">
            <v>4.4999999999999999E-4</v>
          </cell>
          <cell r="CH96">
            <v>1</v>
          </cell>
          <cell r="CI96" t="str">
            <v>CPU04</v>
          </cell>
          <cell r="CJ96">
            <v>2511.8507594331254</v>
          </cell>
          <cell r="CK96">
            <v>1.1303328417449063</v>
          </cell>
          <cell r="CL96" t="str">
            <v>CPU04-1</v>
          </cell>
          <cell r="CM96">
            <v>2535.6603093736671</v>
          </cell>
          <cell r="CN96">
            <v>1.1410471392181503</v>
          </cell>
          <cell r="DN96" t="str">
            <v>Gerente de Tecnologia</v>
          </cell>
          <cell r="DO96">
            <v>16665.560000000001</v>
          </cell>
          <cell r="DP96">
            <v>19208.98</v>
          </cell>
          <cell r="DQ96">
            <v>1.0335248790636142</v>
          </cell>
          <cell r="DR96">
            <v>17224.27088352741</v>
          </cell>
          <cell r="DS96">
            <v>13829.74585066802</v>
          </cell>
        </row>
        <row r="97">
          <cell r="B97">
            <v>605665</v>
          </cell>
          <cell r="C97" t="str">
            <v>SICRO</v>
          </cell>
          <cell r="D97" t="str">
            <v>Bueiro metálico com chapas múltiplas MP 100 galvanizadas - D = 2,00 m - brita comercial</v>
          </cell>
          <cell r="E97" t="str">
            <v>m</v>
          </cell>
          <cell r="F97">
            <v>2194.7030152447551</v>
          </cell>
          <cell r="G97">
            <v>2194.7030152447551</v>
          </cell>
          <cell r="H97">
            <v>2194.7030152447551</v>
          </cell>
          <cell r="I97">
            <v>0</v>
          </cell>
          <cell r="J97">
            <v>2214.5521591608394</v>
          </cell>
          <cell r="K97">
            <v>2214.5521591608394</v>
          </cell>
          <cell r="L97">
            <v>2214.5521591608394</v>
          </cell>
          <cell r="W97" t="str">
            <v>M2092</v>
          </cell>
          <cell r="X97" t="str">
            <v>Emulsão asfáltica para imprimação</v>
          </cell>
          <cell r="Y97" t="str">
            <v>t</v>
          </cell>
          <cell r="Z97">
            <v>0</v>
          </cell>
          <cell r="AA97">
            <v>0</v>
          </cell>
          <cell r="BC97" t="str">
            <v>M2092</v>
          </cell>
          <cell r="BD97" t="str">
            <v>Emulsão asfáltica para imprimação</v>
          </cell>
          <cell r="BE97" t="str">
            <v>t</v>
          </cell>
          <cell r="BF97">
            <v>0</v>
          </cell>
          <cell r="BG97">
            <v>0</v>
          </cell>
          <cell r="CC97">
            <v>0</v>
          </cell>
          <cell r="CD97" t="str">
            <v>Pintura de faixa - tinta base acrílica - espessura de 0,6 mm</v>
          </cell>
          <cell r="CE97" t="str">
            <v>m²</v>
          </cell>
          <cell r="CF97" t="str">
            <v>2 faixas cont. + 1 faixa não cont.</v>
          </cell>
          <cell r="CG97">
            <v>4.4871794871794872E-2</v>
          </cell>
          <cell r="CH97">
            <v>1</v>
          </cell>
          <cell r="CI97">
            <v>5213401</v>
          </cell>
          <cell r="CJ97">
            <v>20.390807290896916</v>
          </cell>
          <cell r="CK97">
            <v>1.2018158822830236</v>
          </cell>
          <cell r="CL97">
            <v>5213401</v>
          </cell>
          <cell r="CM97">
            <v>22.71825438768407</v>
          </cell>
          <cell r="CN97">
            <v>1.3389935254330845</v>
          </cell>
          <cell r="DN97" t="str">
            <v>Coordenador de Tecnologia</v>
          </cell>
          <cell r="DO97">
            <v>10850.23</v>
          </cell>
          <cell r="DP97">
            <v>12679.03</v>
          </cell>
          <cell r="DQ97">
            <v>1.0335248790636142</v>
          </cell>
          <cell r="DR97">
            <v>11213.982648562398</v>
          </cell>
          <cell r="DS97">
            <v>9297.387492680904</v>
          </cell>
        </row>
        <row r="98">
          <cell r="B98">
            <v>605670</v>
          </cell>
          <cell r="C98" t="str">
            <v>SICRO</v>
          </cell>
          <cell r="D98" t="str">
            <v>Bueiro metálico com chapas múltiplas MP 100 galvanizadas - D = 2,50 m - brita comercial</v>
          </cell>
          <cell r="E98" t="str">
            <v>m</v>
          </cell>
          <cell r="F98">
            <v>4273.6097589830506</v>
          </cell>
          <cell r="G98">
            <v>4273.6097589830506</v>
          </cell>
          <cell r="H98">
            <v>4273.6097589830506</v>
          </cell>
          <cell r="I98">
            <v>0</v>
          </cell>
          <cell r="J98">
            <v>4301.6283349152545</v>
          </cell>
          <cell r="K98">
            <v>4301.6283349152545</v>
          </cell>
          <cell r="L98">
            <v>4301.6283349152545</v>
          </cell>
          <cell r="W98" t="str">
            <v>M1946</v>
          </cell>
          <cell r="X98" t="str">
            <v>Emulsão asfáltica RR-1C</v>
          </cell>
          <cell r="Y98" t="str">
            <v>t</v>
          </cell>
          <cell r="Z98">
            <v>0</v>
          </cell>
          <cell r="AA98">
            <v>0</v>
          </cell>
          <cell r="BC98" t="str">
            <v>M1946</v>
          </cell>
          <cell r="BD98" t="str">
            <v>Emulsão asfáltica RR-1C</v>
          </cell>
          <cell r="BE98" t="str">
            <v>t</v>
          </cell>
          <cell r="BF98">
            <v>0</v>
          </cell>
          <cell r="BG98">
            <v>0</v>
          </cell>
          <cell r="CC98">
            <v>0</v>
          </cell>
          <cell r="CD98" t="str">
            <v>Tacha refletiva monodirecional - fornecimento e colocação</v>
          </cell>
          <cell r="CE98" t="str">
            <v>un</v>
          </cell>
          <cell r="CF98" t="str">
            <v>3 / 16m / 7,8m largura</v>
          </cell>
          <cell r="CG98">
            <v>2.403846153846154E-2</v>
          </cell>
          <cell r="CH98">
            <v>1</v>
          </cell>
          <cell r="CI98">
            <v>5213359</v>
          </cell>
          <cell r="CJ98">
            <v>12.189996472111552</v>
          </cell>
          <cell r="CK98">
            <v>0.38489327803169532</v>
          </cell>
          <cell r="CL98">
            <v>5213359</v>
          </cell>
          <cell r="CM98">
            <v>14.739324009960159</v>
          </cell>
          <cell r="CN98">
            <v>0.46538706940102564</v>
          </cell>
          <cell r="DN98" t="str">
            <v>Analista de Sistemas</v>
          </cell>
          <cell r="DO98">
            <v>3859.5</v>
          </cell>
          <cell r="DP98">
            <v>4145.1400000000003</v>
          </cell>
          <cell r="DQ98">
            <v>1.0335248790636142</v>
          </cell>
          <cell r="DR98">
            <v>3988.8892707460191</v>
          </cell>
          <cell r="DS98">
            <v>3848.9445764695729</v>
          </cell>
        </row>
        <row r="99">
          <cell r="B99">
            <v>605671</v>
          </cell>
          <cell r="C99" t="str">
            <v>SICRO</v>
          </cell>
          <cell r="D99" t="str">
            <v>Bueiro metálico com chapas múltiplas MP 100 galvanizadas - D = 2,60 m - brita comercial</v>
          </cell>
          <cell r="E99" t="str">
            <v>m</v>
          </cell>
          <cell r="F99">
            <v>4601.2716212244895</v>
          </cell>
          <cell r="G99">
            <v>4601.2716212244895</v>
          </cell>
          <cell r="H99">
            <v>4601.2716212244895</v>
          </cell>
          <cell r="I99">
            <v>0</v>
          </cell>
          <cell r="J99">
            <v>4633.780644489796</v>
          </cell>
          <cell r="K99">
            <v>4633.780644489796</v>
          </cell>
          <cell r="L99">
            <v>4633.780644489796</v>
          </cell>
          <cell r="W99" t="str">
            <v>E9545</v>
          </cell>
          <cell r="X99" t="str">
            <v>Vibroacabadora de asfalto sobre esteiras - 82 kW</v>
          </cell>
          <cell r="Y99" t="str">
            <v>h</v>
          </cell>
          <cell r="Z99">
            <v>202.59020000000001</v>
          </cell>
          <cell r="AA99">
            <v>101.2197</v>
          </cell>
          <cell r="BC99" t="str">
            <v>E9545</v>
          </cell>
          <cell r="BD99" t="str">
            <v>Vibroacabadora de asfalto sobre esteiras - 82 kW</v>
          </cell>
          <cell r="BE99" t="str">
            <v>h</v>
          </cell>
          <cell r="BF99">
            <v>201.79849999999999</v>
          </cell>
          <cell r="BG99">
            <v>101.32299999999999</v>
          </cell>
          <cell r="CC99">
            <v>0</v>
          </cell>
          <cell r="CD99" t="str">
            <v>Tacha refletiva metálica com dois pinos - bidirecional - fornecimento e colocação</v>
          </cell>
          <cell r="CE99" t="str">
            <v>un</v>
          </cell>
          <cell r="CF99" t="str">
            <v>não aplicada</v>
          </cell>
          <cell r="CG99">
            <v>0</v>
          </cell>
          <cell r="CH99">
            <v>1</v>
          </cell>
          <cell r="CI99">
            <v>5213395</v>
          </cell>
          <cell r="CJ99">
            <v>32.534966247709477</v>
          </cell>
          <cell r="CK99">
            <v>0</v>
          </cell>
          <cell r="CL99">
            <v>5213395</v>
          </cell>
          <cell r="CM99">
            <v>34.530034902548728</v>
          </cell>
          <cell r="CN99">
            <v>0</v>
          </cell>
          <cell r="DN99" t="str">
            <v>Técnico em Informática</v>
          </cell>
          <cell r="DO99">
            <v>2341.56</v>
          </cell>
          <cell r="DP99">
            <v>2623.49</v>
          </cell>
          <cell r="DQ99">
            <v>1.0335248790636142</v>
          </cell>
          <cell r="DR99">
            <v>2420.0605158201965</v>
          </cell>
          <cell r="DS99">
            <v>2665.8908123800102</v>
          </cell>
        </row>
        <row r="100">
          <cell r="B100">
            <v>605672</v>
          </cell>
          <cell r="C100" t="str">
            <v>SICRO</v>
          </cell>
          <cell r="D100" t="str">
            <v>Bueiro metálico com chapas múltiplas MP 100 galvanizadas - D = 2,70 m - brita comercial</v>
          </cell>
          <cell r="E100" t="str">
            <v>m</v>
          </cell>
          <cell r="F100">
            <v>4836.2817400000004</v>
          </cell>
          <cell r="G100">
            <v>4836.2817400000004</v>
          </cell>
          <cell r="H100">
            <v>4836.2817400000004</v>
          </cell>
          <cell r="I100">
            <v>0</v>
          </cell>
          <cell r="J100">
            <v>4875.2630800000006</v>
          </cell>
          <cell r="K100">
            <v>4875.2630800000006</v>
          </cell>
          <cell r="L100">
            <v>4875.2630800000006</v>
          </cell>
          <cell r="W100">
            <v>6416143</v>
          </cell>
          <cell r="X100" t="str">
            <v xml:space="preserve">Usinagem de concreto asfáltico - faixa B - areia e brita comerciais </v>
          </cell>
          <cell r="Y100" t="str">
            <v>t</v>
          </cell>
          <cell r="Z100">
            <v>111.62</v>
          </cell>
          <cell r="AA100">
            <v>0</v>
          </cell>
          <cell r="BC100">
            <v>6416143</v>
          </cell>
          <cell r="BD100" t="str">
            <v xml:space="preserve">Usinagem de concreto asfáltico - faixa B - areia e brita comerciais </v>
          </cell>
          <cell r="BE100" t="str">
            <v>t</v>
          </cell>
          <cell r="BF100">
            <v>106.88</v>
          </cell>
          <cell r="BG100">
            <v>0</v>
          </cell>
          <cell r="CC100" t="str">
            <v>F3R3</v>
          </cell>
          <cell r="CD100" t="str">
            <v xml:space="preserve"> (3,0cm) FRESAGEM +(3,0cm) CBUQ C/ POLÍMERO</v>
          </cell>
          <cell r="CE100">
            <v>0</v>
          </cell>
          <cell r="CF100">
            <v>0</v>
          </cell>
          <cell r="CG100">
            <v>0</v>
          </cell>
          <cell r="CH100">
            <v>0</v>
          </cell>
          <cell r="CI100">
            <v>0</v>
          </cell>
          <cell r="CJ100">
            <v>0</v>
          </cell>
          <cell r="CK100">
            <v>36.561424842328357</v>
          </cell>
          <cell r="CL100">
            <v>0</v>
          </cell>
          <cell r="CM100">
            <v>0</v>
          </cell>
          <cell r="CN100">
            <v>38.514173424367335</v>
          </cell>
          <cell r="DN100" t="str">
            <v>Auxiliar Administrativo</v>
          </cell>
          <cell r="DO100">
            <v>1574.24</v>
          </cell>
          <cell r="DP100">
            <v>1700.83</v>
          </cell>
          <cell r="DQ100">
            <v>1.0335248790636142</v>
          </cell>
          <cell r="DR100">
            <v>1627.0162056171041</v>
          </cell>
          <cell r="DS100">
            <v>2067.8560980558582</v>
          </cell>
        </row>
        <row r="101">
          <cell r="B101">
            <v>605680</v>
          </cell>
          <cell r="C101" t="str">
            <v>SICRO</v>
          </cell>
          <cell r="D101" t="str">
            <v>Bueiro metálico com chapas múltiplas MP 152 galvanizadas - D = 3,05 m - brita comercial</v>
          </cell>
          <cell r="E101" t="str">
            <v>m</v>
          </cell>
          <cell r="F101">
            <v>5862.9781792156864</v>
          </cell>
          <cell r="G101">
            <v>5862.9781792156864</v>
          </cell>
          <cell r="H101">
            <v>5862.9781792156864</v>
          </cell>
          <cell r="I101">
            <v>0</v>
          </cell>
          <cell r="J101">
            <v>5886.6818341176468</v>
          </cell>
          <cell r="K101">
            <v>5886.6818341176468</v>
          </cell>
          <cell r="L101">
            <v>5886.6818341176468</v>
          </cell>
          <cell r="W101">
            <v>6416143</v>
          </cell>
          <cell r="X101" t="str">
            <v>Usinagem de concreto asfáltico - faixa B - areia e brita comerciais  - Caminhão basculante 10 m³</v>
          </cell>
          <cell r="Y101" t="str">
            <v>t</v>
          </cell>
          <cell r="Z101">
            <v>111.62</v>
          </cell>
          <cell r="AA101">
            <v>0</v>
          </cell>
          <cell r="BC101">
            <v>6416143</v>
          </cell>
          <cell r="BD101" t="str">
            <v>Usinagem de concreto asfáltico - faixa B - areia e brita comerciais  - Caminhão basculante 10 m³</v>
          </cell>
          <cell r="BE101" t="str">
            <v>t</v>
          </cell>
          <cell r="BF101">
            <v>106.88</v>
          </cell>
          <cell r="BG101">
            <v>0</v>
          </cell>
          <cell r="CC101" t="str">
            <v>(m²)</v>
          </cell>
          <cell r="CD101" t="str">
            <v>Fresagem descontínua de revestimento betuminoso</v>
          </cell>
          <cell r="CE101" t="str">
            <v>m³</v>
          </cell>
          <cell r="CF101">
            <v>3</v>
          </cell>
          <cell r="CG101">
            <v>0.03</v>
          </cell>
          <cell r="CH101">
            <v>1</v>
          </cell>
          <cell r="CI101">
            <v>4011480</v>
          </cell>
          <cell r="CJ101">
            <v>50.02322121102204</v>
          </cell>
          <cell r="CK101">
            <v>1.9711650318203231</v>
          </cell>
          <cell r="CL101">
            <v>4011480</v>
          </cell>
          <cell r="CM101">
            <v>50.377443150593948</v>
          </cell>
          <cell r="CN101">
            <v>1.9851231473491542</v>
          </cell>
          <cell r="DN101" t="str">
            <v>Supervisor Eletroeletrônico</v>
          </cell>
          <cell r="DO101">
            <v>5117.46</v>
          </cell>
          <cell r="DP101">
            <v>5684.74</v>
          </cell>
          <cell r="DQ101">
            <v>1.0335248790636142</v>
          </cell>
          <cell r="DR101">
            <v>5289.0222276128834</v>
          </cell>
          <cell r="DS101">
            <v>4829.3748392428752</v>
          </cell>
        </row>
        <row r="102">
          <cell r="B102">
            <v>605682</v>
          </cell>
          <cell r="C102" t="str">
            <v>SICRO</v>
          </cell>
          <cell r="D102" t="str">
            <v>Bueiro metálico com chapas múltiplas MP 152 galvanizadas - D = 3,40 m - brita comercial</v>
          </cell>
          <cell r="E102" t="str">
            <v>m</v>
          </cell>
          <cell r="F102">
            <v>6587.627837777778</v>
          </cell>
          <cell r="G102">
            <v>6587.627837777778</v>
          </cell>
          <cell r="H102">
            <v>6587.627837777778</v>
          </cell>
          <cell r="I102">
            <v>0</v>
          </cell>
          <cell r="J102">
            <v>6612.6152933333333</v>
          </cell>
          <cell r="K102">
            <v>6612.6152933333333</v>
          </cell>
          <cell r="L102">
            <v>6612.6152933333333</v>
          </cell>
          <cell r="W102">
            <v>6416262</v>
          </cell>
          <cell r="X102" t="str">
            <v>Usinagem de concreto asfáltico - faixa B - areia extraída e brita produzida  - Caminhão basculante 10 m³</v>
          </cell>
          <cell r="Y102" t="str">
            <v>t</v>
          </cell>
          <cell r="Z102">
            <v>78.12</v>
          </cell>
          <cell r="AA102">
            <v>0</v>
          </cell>
          <cell r="BC102">
            <v>6416262</v>
          </cell>
          <cell r="BD102" t="str">
            <v>Usinagem de concreto asfáltico - faixa B - areia extraída e brita produzida  - Caminhão basculante 10 m³</v>
          </cell>
          <cell r="BE102" t="str">
            <v>t</v>
          </cell>
          <cell r="BF102">
            <v>77.150000000000006</v>
          </cell>
          <cell r="BG102">
            <v>0</v>
          </cell>
          <cell r="CC102">
            <v>0</v>
          </cell>
          <cell r="CD102" t="str">
            <v>Carga, manobra e descarga de areia, brita, pedra de mão ou solos em caminhão basculante de 10 m³ - carga com carregadeira e descarga livre</v>
          </cell>
          <cell r="CE102" t="str">
            <v>t</v>
          </cell>
          <cell r="CF102" t="str">
            <v>2,4t/m³</v>
          </cell>
          <cell r="CG102">
            <v>7.1999999999999995E-2</v>
          </cell>
          <cell r="CH102">
            <v>1</v>
          </cell>
          <cell r="CI102">
            <v>5915407</v>
          </cell>
          <cell r="CJ102">
            <v>1.6993770350671593</v>
          </cell>
          <cell r="CK102">
            <v>0.16071348496037136</v>
          </cell>
          <cell r="CL102">
            <v>5914352</v>
          </cell>
          <cell r="CM102">
            <v>9.5803793626707137</v>
          </cell>
          <cell r="CN102">
            <v>0.90603563708649459</v>
          </cell>
          <cell r="DN102" t="str">
            <v>Técnico Eletroeletrônico</v>
          </cell>
          <cell r="DO102">
            <v>2341.56</v>
          </cell>
          <cell r="DP102">
            <v>2623.49</v>
          </cell>
          <cell r="DQ102">
            <v>1.0335248790636142</v>
          </cell>
          <cell r="DR102">
            <v>2420.0605158201965</v>
          </cell>
          <cell r="DS102">
            <v>2665.8908123800102</v>
          </cell>
        </row>
        <row r="103">
          <cell r="B103">
            <v>605684</v>
          </cell>
          <cell r="C103" t="str">
            <v>SICRO</v>
          </cell>
          <cell r="D103" t="str">
            <v>Bueiro metálico com chapas múltiplas MP 152 galvanizadas - D = 3,80 m - brita comercial</v>
          </cell>
          <cell r="E103" t="str">
            <v>m</v>
          </cell>
          <cell r="F103">
            <v>7333.6694124675332</v>
          </cell>
          <cell r="G103">
            <v>7333.6694124675332</v>
          </cell>
          <cell r="H103">
            <v>7333.6694124675332</v>
          </cell>
          <cell r="I103">
            <v>0</v>
          </cell>
          <cell r="J103">
            <v>7361.1180254545461</v>
          </cell>
          <cell r="K103">
            <v>7361.1180254545461</v>
          </cell>
          <cell r="L103">
            <v>7361.1180254545461</v>
          </cell>
          <cell r="W103">
            <v>6416077</v>
          </cell>
          <cell r="X103" t="str">
            <v xml:space="preserve">Usinagem de concreto asfáltico - faixa C - areia extraída e brita produzida </v>
          </cell>
          <cell r="Y103" t="str">
            <v>t</v>
          </cell>
          <cell r="Z103">
            <v>80.86</v>
          </cell>
          <cell r="AA103">
            <v>0</v>
          </cell>
          <cell r="BC103">
            <v>6416077</v>
          </cell>
          <cell r="BD103" t="str">
            <v xml:space="preserve">Usinagem de concreto asfáltico - faixa C - areia extraída e brita produzida </v>
          </cell>
          <cell r="BE103" t="str">
            <v>t</v>
          </cell>
          <cell r="BF103">
            <v>79.77</v>
          </cell>
          <cell r="BG103">
            <v>0</v>
          </cell>
          <cell r="CC103">
            <v>0</v>
          </cell>
          <cell r="CD103" t="str">
            <v>Transporte com caminhão basculante de 12m³ - rodovia em revestimento primário</v>
          </cell>
          <cell r="CE103" t="str">
            <v>tkm</v>
          </cell>
          <cell r="CF103" t="str">
            <v>DMT = 10km</v>
          </cell>
          <cell r="CG103">
            <v>0.72</v>
          </cell>
          <cell r="CH103">
            <v>1</v>
          </cell>
          <cell r="CI103">
            <v>5914335</v>
          </cell>
          <cell r="CJ103">
            <v>0.49810144567068276</v>
          </cell>
          <cell r="CK103">
            <v>0.47106449919967802</v>
          </cell>
          <cell r="CL103">
            <v>5914335</v>
          </cell>
          <cell r="CM103">
            <v>0.49824066306827308</v>
          </cell>
          <cell r="CN103">
            <v>0.4711961598769272</v>
          </cell>
          <cell r="DN103" t="str">
            <v>Técnico em Sistema ITS</v>
          </cell>
          <cell r="DO103">
            <v>2341.56</v>
          </cell>
          <cell r="DP103">
            <v>2623.49</v>
          </cell>
          <cell r="DQ103">
            <v>1.0335248790636142</v>
          </cell>
          <cell r="DR103">
            <v>2420.0605158201965</v>
          </cell>
          <cell r="DS103">
            <v>2665.8908123800102</v>
          </cell>
        </row>
        <row r="104">
          <cell r="B104">
            <v>605685</v>
          </cell>
          <cell r="C104" t="str">
            <v>SICRO</v>
          </cell>
          <cell r="D104" t="str">
            <v>Bueiro metálico com chapas múltiplas MP 152 galvanizadas - D = 4,20 m - brita comercial</v>
          </cell>
          <cell r="E104" t="str">
            <v>m</v>
          </cell>
          <cell r="F104">
            <v>8048.4341297590363</v>
          </cell>
          <cell r="G104">
            <v>8048.4341297590363</v>
          </cell>
          <cell r="H104">
            <v>8048.4341297590363</v>
          </cell>
          <cell r="I104">
            <v>0</v>
          </cell>
          <cell r="J104">
            <v>8075.8658857831324</v>
          </cell>
          <cell r="K104">
            <v>8075.8658857831324</v>
          </cell>
          <cell r="L104">
            <v>8075.8658857831324</v>
          </cell>
          <cell r="W104">
            <v>6416077</v>
          </cell>
          <cell r="X104" t="str">
            <v>Usinagem de concreto asfáltico - faixa C - areia extraída e brita produzida  - Caminhão basculante 10 m³</v>
          </cell>
          <cell r="Y104" t="str">
            <v>t</v>
          </cell>
          <cell r="Z104">
            <v>80.86</v>
          </cell>
          <cell r="AA104">
            <v>0</v>
          </cell>
          <cell r="BC104">
            <v>6416077</v>
          </cell>
          <cell r="BD104" t="str">
            <v>Usinagem de concreto asfáltico - faixa C - areia extraída e brita produzida  - Caminhão basculante 10 m³</v>
          </cell>
          <cell r="BE104" t="str">
            <v>t</v>
          </cell>
          <cell r="BF104">
            <v>79.77</v>
          </cell>
          <cell r="BG104">
            <v>0</v>
          </cell>
          <cell r="CC104">
            <v>0</v>
          </cell>
          <cell r="CD104" t="str">
            <v>Concreto asfáltico com asfalto polímero - faixa C - areia e brita comerciais</v>
          </cell>
          <cell r="CE104" t="str">
            <v>t</v>
          </cell>
          <cell r="CF104">
            <v>3</v>
          </cell>
          <cell r="CG104">
            <v>7.1999999999999995E-2</v>
          </cell>
          <cell r="CH104">
            <v>1</v>
          </cell>
          <cell r="CI104">
            <v>4011466</v>
          </cell>
          <cell r="CJ104">
            <v>130.81939260452867</v>
          </cell>
          <cell r="CK104">
            <v>12.371851597395484</v>
          </cell>
          <cell r="CL104">
            <v>4011466</v>
          </cell>
          <cell r="CM104">
            <v>135.10461380032868</v>
          </cell>
          <cell r="CN104">
            <v>12.777113536324682</v>
          </cell>
          <cell r="DN104" t="str">
            <v>Gerência de Conservação e Manutenção</v>
          </cell>
          <cell r="DO104">
            <v>0</v>
          </cell>
          <cell r="DP104">
            <v>0</v>
          </cell>
          <cell r="DQ104">
            <v>0</v>
          </cell>
          <cell r="DR104">
            <v>0</v>
          </cell>
          <cell r="DS104">
            <v>0</v>
          </cell>
        </row>
        <row r="105">
          <cell r="B105">
            <v>605686</v>
          </cell>
          <cell r="C105" t="str">
            <v>SICRO</v>
          </cell>
          <cell r="D105" t="str">
            <v>Bueiro metálico com chapas múltiplas MP 152 galvanizadas - D = 4,60 m - brita comercial</v>
          </cell>
          <cell r="E105" t="str">
            <v>m</v>
          </cell>
          <cell r="F105">
            <v>8778.4823433333331</v>
          </cell>
          <cell r="G105">
            <v>8778.4823433333331</v>
          </cell>
          <cell r="H105">
            <v>8778.4823433333331</v>
          </cell>
          <cell r="I105">
            <v>0</v>
          </cell>
          <cell r="J105">
            <v>8807.97156</v>
          </cell>
          <cell r="K105">
            <v>8807.97156</v>
          </cell>
          <cell r="L105">
            <v>8807.97156</v>
          </cell>
          <cell r="W105" t="str">
            <v>E9686</v>
          </cell>
          <cell r="X105" t="str">
            <v>Caminhão carroceria com guindauto com capacidade de 20 t.m - 136 kW</v>
          </cell>
          <cell r="Y105" t="str">
            <v>h</v>
          </cell>
          <cell r="Z105">
            <v>177.20099999999999</v>
          </cell>
          <cell r="AA105">
            <v>83.666499999999999</v>
          </cell>
          <cell r="BC105" t="str">
            <v>E9686</v>
          </cell>
          <cell r="BD105" t="str">
            <v>Caminhão carroceria com guindauto com capacidade de 20 t.m - 136 kW</v>
          </cell>
          <cell r="BE105" t="str">
            <v>h</v>
          </cell>
          <cell r="BF105">
            <v>170.41319999999999</v>
          </cell>
          <cell r="BG105">
            <v>78.076400000000007</v>
          </cell>
          <cell r="CC105">
            <v>0</v>
          </cell>
          <cell r="CD105" t="str">
            <v>Fornecimento de Material Betuminoso c/ polímero SBS</v>
          </cell>
          <cell r="CE105" t="str">
            <v>t</v>
          </cell>
          <cell r="CF105" t="str">
            <v>0,057732 t</v>
          </cell>
          <cell r="CG105">
            <v>4.1567039999999998E-3</v>
          </cell>
          <cell r="CH105">
            <v>1</v>
          </cell>
          <cell r="CI105" t="str">
            <v>CPU10</v>
          </cell>
          <cell r="CJ105">
            <v>4481.4349761078774</v>
          </cell>
          <cell r="CK105">
            <v>18.627998690927516</v>
          </cell>
          <cell r="CL105" t="str">
            <v>CPU10-1</v>
          </cell>
          <cell r="CM105">
            <v>4614.4401264709131</v>
          </cell>
          <cell r="CN105">
            <v>19.180861731462148</v>
          </cell>
          <cell r="DN105" t="str">
            <v>Gerente de Conservação e Manutenção</v>
          </cell>
          <cell r="DO105">
            <v>21877.7</v>
          </cell>
          <cell r="DP105">
            <v>25544.49</v>
          </cell>
          <cell r="DQ105">
            <v>1.0335248790636142</v>
          </cell>
          <cell r="DR105">
            <v>22611.147246690034</v>
          </cell>
          <cell r="DS105">
            <v>17891.989316128955</v>
          </cell>
        </row>
        <row r="106">
          <cell r="B106">
            <v>605575</v>
          </cell>
          <cell r="C106" t="str">
            <v>SICRO</v>
          </cell>
          <cell r="D106" t="str">
            <v>Bueiro metálico sem interrupção de tráfego com D = 2,00 m - chapa com epóxi - escavado em material de 1ª categoria - aterro rodoviário máximo = 5,4 m</v>
          </cell>
          <cell r="E106" t="str">
            <v>m</v>
          </cell>
          <cell r="F106">
            <v>6292.2709676916666</v>
          </cell>
          <cell r="G106">
            <v>6292.2709676916666</v>
          </cell>
          <cell r="H106">
            <v>6292.2709676916666</v>
          </cell>
          <cell r="I106">
            <v>0</v>
          </cell>
          <cell r="J106">
            <v>6386.2017145777781</v>
          </cell>
          <cell r="K106">
            <v>6386.2017145777781</v>
          </cell>
          <cell r="L106">
            <v>6386.2017145777781</v>
          </cell>
          <cell r="W106" t="str">
            <v>M2164</v>
          </cell>
          <cell r="X106" t="str">
            <v>Tubo de concreto armado PA 2 - D = 0,40 m</v>
          </cell>
          <cell r="Y106" t="str">
            <v>m</v>
          </cell>
          <cell r="Z106">
            <v>82.976600000000005</v>
          </cell>
          <cell r="AA106">
            <v>0</v>
          </cell>
          <cell r="BC106" t="str">
            <v>M2164</v>
          </cell>
          <cell r="BD106" t="str">
            <v>Tubo de concreto armado PA 2 - D = 0,40 m</v>
          </cell>
          <cell r="BE106" t="str">
            <v>m</v>
          </cell>
          <cell r="BF106">
            <v>82.541600000000003</v>
          </cell>
          <cell r="BG106">
            <v>0</v>
          </cell>
          <cell r="CC106">
            <v>0</v>
          </cell>
          <cell r="CD106" t="str">
            <v>Pintura de ligação</v>
          </cell>
          <cell r="CE106" t="str">
            <v>m²</v>
          </cell>
          <cell r="CF106">
            <v>1</v>
          </cell>
          <cell r="CG106">
            <v>1</v>
          </cell>
          <cell r="CH106">
            <v>1</v>
          </cell>
          <cell r="CI106">
            <v>4011353</v>
          </cell>
          <cell r="CJ106">
            <v>0.18392808219669335</v>
          </cell>
          <cell r="CK106">
            <v>0.24158953596535671</v>
          </cell>
          <cell r="CL106">
            <v>4011353</v>
          </cell>
          <cell r="CM106">
            <v>0.18912484066666665</v>
          </cell>
          <cell r="CN106">
            <v>0.24841547821566662</v>
          </cell>
          <cell r="DN106" t="str">
            <v>Engenheiro Pleno</v>
          </cell>
          <cell r="DO106">
            <v>8068.51</v>
          </cell>
          <cell r="DP106">
            <v>9018</v>
          </cell>
          <cell r="DQ106">
            <v>1.0335248790636142</v>
          </cell>
          <cell r="DR106">
            <v>8339.005821973562</v>
          </cell>
          <cell r="DS106">
            <v>7129.3674677502631</v>
          </cell>
        </row>
        <row r="107">
          <cell r="B107">
            <v>605580</v>
          </cell>
          <cell r="C107" t="str">
            <v>SICRO</v>
          </cell>
          <cell r="D107" t="str">
            <v>Bueiro metálico sem interrupção de tráfego com D = 3,00 m - chapa com epóxi - escavado em material de 1ª categoria - aterro rodoviário máximo = 3,6 m</v>
          </cell>
          <cell r="E107" t="str">
            <v>m</v>
          </cell>
          <cell r="F107">
            <v>10751.343041076238</v>
          </cell>
          <cell r="G107">
            <v>10751.343041076238</v>
          </cell>
          <cell r="H107">
            <v>10751.343041076238</v>
          </cell>
          <cell r="I107">
            <v>0</v>
          </cell>
          <cell r="J107">
            <v>10927.920353287129</v>
          </cell>
          <cell r="K107">
            <v>10927.920353287129</v>
          </cell>
          <cell r="L107">
            <v>10927.920353287129</v>
          </cell>
          <cell r="W107">
            <v>1109671</v>
          </cell>
          <cell r="X107" t="str">
            <v xml:space="preserve">Argamassa de cimento e areia 1:4 - areia comercial </v>
          </cell>
          <cell r="Y107" t="str">
            <v>m³</v>
          </cell>
          <cell r="Z107">
            <v>305.39999999999998</v>
          </cell>
          <cell r="AA107">
            <v>0</v>
          </cell>
          <cell r="BC107">
            <v>1109671</v>
          </cell>
          <cell r="BD107" t="str">
            <v xml:space="preserve">Argamassa de cimento e areia 1:4 - areia comercial </v>
          </cell>
          <cell r="BE107" t="str">
            <v>m³</v>
          </cell>
          <cell r="BF107">
            <v>295</v>
          </cell>
          <cell r="BG107">
            <v>0</v>
          </cell>
          <cell r="CC107">
            <v>0</v>
          </cell>
          <cell r="CD107" t="str">
            <v>Fornecimento de emulsão RR-1C</v>
          </cell>
          <cell r="CE107" t="str">
            <v>t</v>
          </cell>
          <cell r="CF107" t="str">
            <v>0,00045 t</v>
          </cell>
          <cell r="CG107">
            <v>4.4999999999999999E-4</v>
          </cell>
          <cell r="CH107">
            <v>1</v>
          </cell>
          <cell r="CI107" t="str">
            <v>CPU04</v>
          </cell>
          <cell r="CJ107">
            <v>2511.8507594331254</v>
          </cell>
          <cell r="CK107">
            <v>1.1303328417449063</v>
          </cell>
          <cell r="CL107" t="str">
            <v>CPU04-1</v>
          </cell>
          <cell r="CM107">
            <v>2535.6603093736671</v>
          </cell>
          <cell r="CN107">
            <v>1.1410471392181503</v>
          </cell>
          <cell r="DN107" t="str">
            <v>Auxiliar Administrativo</v>
          </cell>
          <cell r="DO107">
            <v>1574.24</v>
          </cell>
          <cell r="DP107">
            <v>1700.83</v>
          </cell>
          <cell r="DQ107">
            <v>1.0335248790636142</v>
          </cell>
          <cell r="DR107">
            <v>1627.0162056171041</v>
          </cell>
          <cell r="DS107">
            <v>2067.8560980558582</v>
          </cell>
        </row>
        <row r="108">
          <cell r="B108">
            <v>705225</v>
          </cell>
          <cell r="C108" t="str">
            <v>SICRO</v>
          </cell>
          <cell r="D108" t="str">
            <v>Boca BSCC 1,50 x 1,50 m - esconsidade 0° - areia e brita comerciais</v>
          </cell>
          <cell r="E108" t="str">
            <v>un</v>
          </cell>
          <cell r="F108">
            <v>8686.1817499999997</v>
          </cell>
          <cell r="G108">
            <v>8686.1817499999997</v>
          </cell>
          <cell r="H108">
            <v>8686.1817499999997</v>
          </cell>
          <cell r="I108">
            <v>0</v>
          </cell>
          <cell r="J108">
            <v>9087.4149999999991</v>
          </cell>
          <cell r="K108">
            <v>9087.4149999999991</v>
          </cell>
          <cell r="L108">
            <v>9087.4149999999991</v>
          </cell>
          <cell r="W108">
            <v>1106165</v>
          </cell>
          <cell r="X108" t="str">
            <v xml:space="preserve">Concreto ciclópico fck = 20 MPa - confecção em betoneira e lançamento manual - areia, brita e pedra de mão comerciais </v>
          </cell>
          <cell r="Y108" t="str">
            <v>m³</v>
          </cell>
          <cell r="Z108">
            <v>316.93</v>
          </cell>
          <cell r="AA108">
            <v>0</v>
          </cell>
          <cell r="BC108">
            <v>1106165</v>
          </cell>
          <cell r="BD108" t="str">
            <v xml:space="preserve">Concreto ciclópico fck = 20 MPa - confecção em betoneira e lançamento manual - areia, brita e pedra de mão comerciais </v>
          </cell>
          <cell r="BE108" t="str">
            <v>m³</v>
          </cell>
          <cell r="BF108">
            <v>290.79000000000002</v>
          </cell>
          <cell r="BG108">
            <v>0</v>
          </cell>
          <cell r="CC108">
            <v>0</v>
          </cell>
          <cell r="CD108" t="str">
            <v>Pintura de faixa - tinta base acrílica - espessura de 0,6 mm</v>
          </cell>
          <cell r="CE108" t="str">
            <v>m²</v>
          </cell>
          <cell r="CF108" t="str">
            <v>2 faixas cont. + 1 faixa não cont.</v>
          </cell>
          <cell r="CG108">
            <v>4.4871794871794872E-2</v>
          </cell>
          <cell r="CH108">
            <v>1</v>
          </cell>
          <cell r="CI108">
            <v>5213401</v>
          </cell>
          <cell r="CJ108">
            <v>20.390807290896916</v>
          </cell>
          <cell r="CK108">
            <v>1.2018158822830236</v>
          </cell>
          <cell r="CL108">
            <v>5213401</v>
          </cell>
          <cell r="CM108">
            <v>22.71825438768407</v>
          </cell>
          <cell r="CN108">
            <v>1.3389935254330845</v>
          </cell>
          <cell r="DN108" t="str">
            <v>Supervisor de Conservação</v>
          </cell>
          <cell r="DO108">
            <v>5944.15</v>
          </cell>
          <cell r="DP108">
            <v>6364.94</v>
          </cell>
          <cell r="DQ108">
            <v>1.0335248790636142</v>
          </cell>
          <cell r="DR108">
            <v>6143.4269098859822</v>
          </cell>
          <cell r="DS108">
            <v>5473.6814101450191</v>
          </cell>
        </row>
        <row r="109">
          <cell r="B109">
            <v>705233</v>
          </cell>
          <cell r="C109" t="str">
            <v>SICRO</v>
          </cell>
          <cell r="D109" t="str">
            <v>Boca BSCC 2,00 x 2,00 m - esconsidade 0° - areia e brita comerciais</v>
          </cell>
          <cell r="E109" t="str">
            <v>un</v>
          </cell>
          <cell r="F109">
            <v>13311.1286</v>
          </cell>
          <cell r="G109">
            <v>13311.1286</v>
          </cell>
          <cell r="H109">
            <v>13311.1286</v>
          </cell>
          <cell r="I109">
            <v>0</v>
          </cell>
          <cell r="J109">
            <v>13916.381299999999</v>
          </cell>
          <cell r="K109">
            <v>13916.381299999999</v>
          </cell>
          <cell r="L109">
            <v>13916.381299999999</v>
          </cell>
          <cell r="W109">
            <v>3103302</v>
          </cell>
          <cell r="X109" t="str">
            <v>Formas de tábuas de pinho para dispositivos de drenagem - utilização de 3 vezes - confecção, instalação e retirada</v>
          </cell>
          <cell r="Y109" t="str">
            <v>m²</v>
          </cell>
          <cell r="Z109">
            <v>65.150000000000006</v>
          </cell>
          <cell r="AA109">
            <v>0</v>
          </cell>
          <cell r="BC109">
            <v>3103302</v>
          </cell>
          <cell r="BD109" t="str">
            <v>Formas de tábuas de pinho para dispositivos de drenagem - utilização de 3 vezes - confecção, instalação e retirada</v>
          </cell>
          <cell r="BE109" t="str">
            <v>m²</v>
          </cell>
          <cell r="BF109">
            <v>62.02</v>
          </cell>
          <cell r="BG109">
            <v>0</v>
          </cell>
          <cell r="CC109">
            <v>0</v>
          </cell>
          <cell r="CD109" t="str">
            <v>Tacha refletiva monodirecional - fornecimento e colocação</v>
          </cell>
          <cell r="CE109" t="str">
            <v>un</v>
          </cell>
          <cell r="CF109" t="str">
            <v>3 / 16m / 7,8m largura</v>
          </cell>
          <cell r="CG109">
            <v>2.403846153846154E-2</v>
          </cell>
          <cell r="CH109">
            <v>1</v>
          </cell>
          <cell r="CI109">
            <v>5213359</v>
          </cell>
          <cell r="CJ109">
            <v>12.189996472111552</v>
          </cell>
          <cell r="CK109">
            <v>0.38489327803169532</v>
          </cell>
          <cell r="CL109">
            <v>5213359</v>
          </cell>
          <cell r="CM109">
            <v>14.739324009960159</v>
          </cell>
          <cell r="CN109">
            <v>0.46538706940102564</v>
          </cell>
          <cell r="DN109" t="str">
            <v>Técnico de Conservação</v>
          </cell>
          <cell r="DO109">
            <v>2687.18</v>
          </cell>
          <cell r="DP109">
            <v>2982.88</v>
          </cell>
          <cell r="DQ109">
            <v>1.0335248790636142</v>
          </cell>
          <cell r="DR109">
            <v>2777.2673845221625</v>
          </cell>
          <cell r="DS109">
            <v>2935.2605120681628</v>
          </cell>
        </row>
        <row r="110">
          <cell r="B110">
            <v>705241</v>
          </cell>
          <cell r="C110" t="str">
            <v>SICRO</v>
          </cell>
          <cell r="D110" t="str">
            <v>Boca BSCC 2,50 x 2,50 m - esconsidade 0° - areia e brita comerciais</v>
          </cell>
          <cell r="E110" t="str">
            <v>un</v>
          </cell>
          <cell r="F110">
            <v>17873.705500000004</v>
          </cell>
          <cell r="G110">
            <v>17873.705500000004</v>
          </cell>
          <cell r="H110">
            <v>17873.705500000004</v>
          </cell>
          <cell r="I110">
            <v>0</v>
          </cell>
          <cell r="J110">
            <v>18683.22825</v>
          </cell>
          <cell r="K110">
            <v>18683.22825</v>
          </cell>
          <cell r="L110">
            <v>18683.22825</v>
          </cell>
          <cell r="W110" t="str">
            <v>M2164</v>
          </cell>
          <cell r="X110" t="str">
            <v>Tubo de concreto armado PA 2 - D = 0,40 m - Guindauto 20 t.m</v>
          </cell>
          <cell r="Y110" t="str">
            <v>m</v>
          </cell>
          <cell r="Z110">
            <v>78.618300000000005</v>
          </cell>
          <cell r="AA110">
            <v>0</v>
          </cell>
          <cell r="BC110" t="str">
            <v>M2164</v>
          </cell>
          <cell r="BD110" t="str">
            <v>Tubo de concreto armado PA 2 - D = 0,40 m - Guindauto 20 t.m</v>
          </cell>
          <cell r="BE110" t="str">
            <v>m</v>
          </cell>
          <cell r="BF110">
            <v>82.541600000000003</v>
          </cell>
          <cell r="BG110">
            <v>0</v>
          </cell>
          <cell r="CC110">
            <v>0</v>
          </cell>
          <cell r="CD110" t="str">
            <v>Tacha refletiva metálica com dois pinos - bidirecional - fornecimento e colocação</v>
          </cell>
          <cell r="CE110" t="str">
            <v>un</v>
          </cell>
          <cell r="CF110" t="str">
            <v>não aplicada</v>
          </cell>
          <cell r="CG110">
            <v>0</v>
          </cell>
          <cell r="CH110">
            <v>1</v>
          </cell>
          <cell r="CI110">
            <v>5213395</v>
          </cell>
          <cell r="CJ110">
            <v>32.534966247709477</v>
          </cell>
          <cell r="CK110">
            <v>0</v>
          </cell>
          <cell r="CL110">
            <v>5213395</v>
          </cell>
          <cell r="CM110">
            <v>34.530034902548728</v>
          </cell>
          <cell r="CN110">
            <v>0</v>
          </cell>
          <cell r="DN110" t="str">
            <v>Técnico Eletricista</v>
          </cell>
          <cell r="DO110">
            <v>2687.18</v>
          </cell>
          <cell r="DP110">
            <v>2982.88</v>
          </cell>
          <cell r="DQ110">
            <v>1.0335248790636142</v>
          </cell>
          <cell r="DR110">
            <v>2777.2673845221625</v>
          </cell>
          <cell r="DS110">
            <v>2935.2605120681628</v>
          </cell>
        </row>
        <row r="111">
          <cell r="B111">
            <v>705249</v>
          </cell>
          <cell r="C111" t="str">
            <v>SICRO</v>
          </cell>
          <cell r="D111" t="str">
            <v>Boca BSCC 3,00 x 3,00 m - esconsidade 0° - areia e brita comerciais</v>
          </cell>
          <cell r="E111" t="str">
            <v>un</v>
          </cell>
          <cell r="F111">
            <v>25090.62515</v>
          </cell>
          <cell r="G111">
            <v>25090.62515</v>
          </cell>
          <cell r="H111">
            <v>25090.62515</v>
          </cell>
          <cell r="I111">
            <v>0</v>
          </cell>
          <cell r="J111">
            <v>26216.054399999997</v>
          </cell>
          <cell r="K111">
            <v>26216.054399999997</v>
          </cell>
          <cell r="L111">
            <v>26216.054399999997</v>
          </cell>
          <cell r="W111" t="str">
            <v>M2172</v>
          </cell>
          <cell r="X111" t="str">
            <v>Tubo de concreto armado PA 2 - D = 0,80 m</v>
          </cell>
          <cell r="Y111" t="str">
            <v>m</v>
          </cell>
          <cell r="Z111">
            <v>276.87220000000002</v>
          </cell>
          <cell r="AA111">
            <v>0</v>
          </cell>
          <cell r="BC111" t="str">
            <v>M2172</v>
          </cell>
          <cell r="BD111" t="str">
            <v>Tubo de concreto armado PA 2 - D = 0,80 m</v>
          </cell>
          <cell r="BE111" t="str">
            <v>m</v>
          </cell>
          <cell r="BF111">
            <v>215.13329999999999</v>
          </cell>
          <cell r="BG111">
            <v>0</v>
          </cell>
          <cell r="CC111" t="str">
            <v>F4R4</v>
          </cell>
          <cell r="CD111" t="str">
            <v xml:space="preserve"> (4,0cm) FRESAGEM +(4,0cm) CBUQ C/ POLÍMERO</v>
          </cell>
          <cell r="CE111">
            <v>0</v>
          </cell>
          <cell r="CF111">
            <v>0</v>
          </cell>
          <cell r="CG111">
            <v>0</v>
          </cell>
          <cell r="CH111">
            <v>0</v>
          </cell>
          <cell r="CI111">
            <v>0</v>
          </cell>
          <cell r="CJ111">
            <v>0</v>
          </cell>
          <cell r="CK111">
            <v>47.762355943762813</v>
          </cell>
          <cell r="CL111">
            <v>0</v>
          </cell>
          <cell r="CM111">
            <v>0</v>
          </cell>
          <cell r="CN111">
            <v>50.287616828400473</v>
          </cell>
          <cell r="DN111" t="str">
            <v>Coordenador de Manutenção Predial</v>
          </cell>
          <cell r="DO111">
            <v>8558.4</v>
          </cell>
          <cell r="DP111">
            <v>9714.25</v>
          </cell>
          <cell r="DQ111">
            <v>1.0335248790636142</v>
          </cell>
          <cell r="DR111">
            <v>8845.3193249780361</v>
          </cell>
          <cell r="DS111">
            <v>7511.1784803659366</v>
          </cell>
        </row>
        <row r="112">
          <cell r="B112">
            <v>705322</v>
          </cell>
          <cell r="C112" t="str">
            <v>SICRO</v>
          </cell>
          <cell r="D112" t="str">
            <v>Boca BDCC 2,00 x 2,00 m - esconsidade 0° - areia e brita comerciais</v>
          </cell>
          <cell r="E112" t="str">
            <v>un</v>
          </cell>
          <cell r="F112">
            <v>15318.53825</v>
          </cell>
          <cell r="G112">
            <v>15318.53825</v>
          </cell>
          <cell r="H112">
            <v>15318.53825</v>
          </cell>
          <cell r="I112">
            <v>0</v>
          </cell>
          <cell r="J112">
            <v>16002.136549999999</v>
          </cell>
          <cell r="K112">
            <v>16002.136549999999</v>
          </cell>
          <cell r="L112">
            <v>16002.136549999999</v>
          </cell>
          <cell r="W112" t="str">
            <v>M2172</v>
          </cell>
          <cell r="X112" t="str">
            <v>Tubo de concreto armado PA 2 - D = 0,80 m - Guindauto 20 t.m</v>
          </cell>
          <cell r="Y112" t="str">
            <v>m</v>
          </cell>
          <cell r="Z112">
            <v>276.87220000000002</v>
          </cell>
          <cell r="AA112">
            <v>0</v>
          </cell>
          <cell r="BC112" t="str">
            <v>M2172</v>
          </cell>
          <cell r="BD112" t="str">
            <v>Tubo de concreto armado PA 2 - D = 0,80 m - Guindauto 20 t.m</v>
          </cell>
          <cell r="BE112" t="str">
            <v>m</v>
          </cell>
          <cell r="BF112">
            <v>215.13329999999999</v>
          </cell>
          <cell r="BG112">
            <v>0</v>
          </cell>
          <cell r="CC112" t="str">
            <v>(m²)</v>
          </cell>
          <cell r="CD112" t="str">
            <v>Fresagem descontínua de revestimento betuminoso</v>
          </cell>
          <cell r="CE112" t="str">
            <v>m³</v>
          </cell>
          <cell r="CF112">
            <v>4</v>
          </cell>
          <cell r="CG112">
            <v>0.04</v>
          </cell>
          <cell r="CH112">
            <v>1</v>
          </cell>
          <cell r="CI112">
            <v>4011480</v>
          </cell>
          <cell r="CJ112">
            <v>50.02322121102204</v>
          </cell>
          <cell r="CK112">
            <v>2.6282200424270976</v>
          </cell>
          <cell r="CL112">
            <v>4011480</v>
          </cell>
          <cell r="CM112">
            <v>50.377443150593948</v>
          </cell>
          <cell r="CN112">
            <v>2.6468308631322057</v>
          </cell>
          <cell r="DN112" t="str">
            <v>Servente de Manutenção Predial</v>
          </cell>
          <cell r="DO112">
            <v>2357.77</v>
          </cell>
          <cell r="DP112">
            <v>2455.39</v>
          </cell>
          <cell r="DQ112">
            <v>1.0335248790636142</v>
          </cell>
          <cell r="DR112">
            <v>2436.8139541098176</v>
          </cell>
          <cell r="DS112">
            <v>2678.5245801942137</v>
          </cell>
        </row>
        <row r="113">
          <cell r="B113">
            <v>705330</v>
          </cell>
          <cell r="C113" t="str">
            <v>SICRO</v>
          </cell>
          <cell r="D113" t="str">
            <v>Boca BDCC 2,50 x 2,50 m - esconsidade 0° - areia e brita comerciais</v>
          </cell>
          <cell r="E113" t="str">
            <v>un</v>
          </cell>
          <cell r="F113">
            <v>21225.50575</v>
          </cell>
          <cell r="G113">
            <v>21225.50575</v>
          </cell>
          <cell r="H113">
            <v>21225.50575</v>
          </cell>
          <cell r="I113">
            <v>0</v>
          </cell>
          <cell r="J113">
            <v>22174.269</v>
          </cell>
          <cell r="K113">
            <v>22174.269</v>
          </cell>
          <cell r="L113">
            <v>22174.269</v>
          </cell>
          <cell r="W113" t="str">
            <v>M2176</v>
          </cell>
          <cell r="X113" t="str">
            <v>Tubo de concreto armado PA 2 - D = 1,00 m</v>
          </cell>
          <cell r="Y113" t="str">
            <v>m</v>
          </cell>
          <cell r="Z113">
            <v>369.38869999999997</v>
          </cell>
          <cell r="AA113">
            <v>0</v>
          </cell>
          <cell r="BC113" t="str">
            <v>M2176</v>
          </cell>
          <cell r="BD113" t="str">
            <v>Tubo de concreto armado PA 2 - D = 1,00 m</v>
          </cell>
          <cell r="BE113" t="str">
            <v>m</v>
          </cell>
          <cell r="BF113">
            <v>335.959</v>
          </cell>
          <cell r="BG113">
            <v>0</v>
          </cell>
          <cell r="CC113">
            <v>0</v>
          </cell>
          <cell r="CD113" t="str">
            <v>Carga, manobra e descarga de areia, brita, pedra de mão ou solos em caminhão basculante de 10 m³ - carga com carregadeira e descarga livre</v>
          </cell>
          <cell r="CE113" t="str">
            <v>t</v>
          </cell>
          <cell r="CF113" t="str">
            <v>2,4t/m³</v>
          </cell>
          <cell r="CG113">
            <v>9.6000000000000002E-2</v>
          </cell>
          <cell r="CH113">
            <v>1</v>
          </cell>
          <cell r="CI113">
            <v>5915407</v>
          </cell>
          <cell r="CJ113">
            <v>1.6993770350671593</v>
          </cell>
          <cell r="CK113">
            <v>0.21428464661382851</v>
          </cell>
          <cell r="CL113">
            <v>5914352</v>
          </cell>
          <cell r="CM113">
            <v>9.5803793626707137</v>
          </cell>
          <cell r="CN113">
            <v>1.2080475161153263</v>
          </cell>
          <cell r="DN113" t="str">
            <v>Coordenador de Equipe Multifuncional</v>
          </cell>
          <cell r="DO113">
            <v>8558.4</v>
          </cell>
          <cell r="DP113">
            <v>9714.25</v>
          </cell>
          <cell r="DQ113">
            <v>1.0335248790636142</v>
          </cell>
          <cell r="DR113">
            <v>8845.3193249780361</v>
          </cell>
          <cell r="DS113">
            <v>7511.1784803659366</v>
          </cell>
        </row>
        <row r="114">
          <cell r="B114">
            <v>705338</v>
          </cell>
          <cell r="C114" t="str">
            <v>SICRO</v>
          </cell>
          <cell r="D114" t="str">
            <v>Boca BDCC 3,00 x 3,00 m - esconsidade 0° - areia e brita comerciais</v>
          </cell>
          <cell r="E114" t="str">
            <v>un</v>
          </cell>
          <cell r="F114">
            <v>30270.624950000001</v>
          </cell>
          <cell r="G114">
            <v>30270.624950000001</v>
          </cell>
          <cell r="H114">
            <v>30270.624950000001</v>
          </cell>
          <cell r="I114">
            <v>0</v>
          </cell>
          <cell r="J114">
            <v>31603.9879</v>
          </cell>
          <cell r="K114">
            <v>31603.9879</v>
          </cell>
          <cell r="L114">
            <v>31603.9879</v>
          </cell>
          <cell r="W114" t="str">
            <v>M2176</v>
          </cell>
          <cell r="X114" t="str">
            <v>Tubo de concreto armado PA 2 - D = 1,00 m - Guindauto 20 t.m</v>
          </cell>
          <cell r="Y114" t="str">
            <v>m</v>
          </cell>
          <cell r="Z114">
            <v>369.38869999999997</v>
          </cell>
          <cell r="AA114">
            <v>0</v>
          </cell>
          <cell r="BC114" t="str">
            <v>M2176</v>
          </cell>
          <cell r="BD114" t="str">
            <v>Tubo de concreto armado PA 2 - D = 1,00 m - Guindauto 20 t.m</v>
          </cell>
          <cell r="BE114" t="str">
            <v>m</v>
          </cell>
          <cell r="BF114">
            <v>335.959</v>
          </cell>
          <cell r="BG114">
            <v>0</v>
          </cell>
          <cell r="CC114">
            <v>0</v>
          </cell>
          <cell r="CD114" t="str">
            <v>Transporte com caminhão basculante de 12m³ - rodovia em revestimento primário</v>
          </cell>
          <cell r="CE114" t="str">
            <v>tkm</v>
          </cell>
          <cell r="CF114" t="str">
            <v>DMT = 10km</v>
          </cell>
          <cell r="CG114">
            <v>0.96</v>
          </cell>
          <cell r="CH114">
            <v>1</v>
          </cell>
          <cell r="CI114">
            <v>5914335</v>
          </cell>
          <cell r="CJ114">
            <v>0.49810144567068276</v>
          </cell>
          <cell r="CK114">
            <v>0.62808599893290407</v>
          </cell>
          <cell r="CL114">
            <v>5914335</v>
          </cell>
          <cell r="CM114">
            <v>0.49824066306827308</v>
          </cell>
          <cell r="CN114">
            <v>0.62826154650256949</v>
          </cell>
          <cell r="DN114" t="str">
            <v>Serventes para Equipe Multifuncional</v>
          </cell>
          <cell r="DO114">
            <v>2357.77</v>
          </cell>
          <cell r="DP114">
            <v>2455.39</v>
          </cell>
          <cell r="DQ114">
            <v>1.0335248790636142</v>
          </cell>
          <cell r="DR114">
            <v>2436.8139541098176</v>
          </cell>
          <cell r="DS114">
            <v>2678.5245801942137</v>
          </cell>
        </row>
        <row r="115">
          <cell r="B115">
            <v>705175</v>
          </cell>
          <cell r="C115" t="str">
            <v>SICRO</v>
          </cell>
          <cell r="D115" t="str">
            <v>Corpo BSCC 1,50 x 1,50 m - moldado no local - altura do aterro 5,00 a 7,50 m - areia e brita comerciais</v>
          </cell>
          <cell r="E115" t="str">
            <v>m</v>
          </cell>
          <cell r="F115">
            <v>1774.4213130000001</v>
          </cell>
          <cell r="G115">
            <v>1774.4213130000001</v>
          </cell>
          <cell r="H115">
            <v>1774.4213130000001</v>
          </cell>
          <cell r="I115">
            <v>0</v>
          </cell>
          <cell r="J115">
            <v>1852.3979212839999</v>
          </cell>
          <cell r="K115">
            <v>1852.3979212839999</v>
          </cell>
          <cell r="L115">
            <v>1852.3979212839999</v>
          </cell>
          <cell r="W115" t="str">
            <v>M2184</v>
          </cell>
          <cell r="X115" t="str">
            <v>Tubo de concreto armado PA 2 - D = 1,50 m</v>
          </cell>
          <cell r="Y115" t="str">
            <v>m</v>
          </cell>
          <cell r="Z115">
            <v>623.97839999999997</v>
          </cell>
          <cell r="AA115">
            <v>0</v>
          </cell>
          <cell r="BC115" t="str">
            <v>M2184</v>
          </cell>
          <cell r="BD115" t="str">
            <v>Tubo de concreto armado PA 2 - D = 1,50 m</v>
          </cell>
          <cell r="BE115" t="str">
            <v>m</v>
          </cell>
          <cell r="BF115">
            <v>579.87139999999999</v>
          </cell>
          <cell r="BG115">
            <v>0</v>
          </cell>
          <cell r="CC115">
            <v>0</v>
          </cell>
          <cell r="CD115" t="str">
            <v>Concreto asfáltico com asfalto polímero - faixa C - areia e brita comerciais</v>
          </cell>
          <cell r="CE115" t="str">
            <v>t</v>
          </cell>
          <cell r="CF115">
            <v>4</v>
          </cell>
          <cell r="CG115">
            <v>9.6000000000000002E-2</v>
          </cell>
          <cell r="CH115">
            <v>1</v>
          </cell>
          <cell r="CI115">
            <v>4011466</v>
          </cell>
          <cell r="CJ115">
            <v>130.81939260452867</v>
          </cell>
          <cell r="CK115">
            <v>16.495802129860646</v>
          </cell>
          <cell r="CL115">
            <v>4011466</v>
          </cell>
          <cell r="CM115">
            <v>135.10461380032868</v>
          </cell>
          <cell r="CN115">
            <v>17.036151381766242</v>
          </cell>
          <cell r="DN115" t="str">
            <v>Diretoria de Engenharia</v>
          </cell>
          <cell r="DO115">
            <v>0</v>
          </cell>
          <cell r="DP115">
            <v>0</v>
          </cell>
          <cell r="DQ115">
            <v>0</v>
          </cell>
          <cell r="DR115">
            <v>0</v>
          </cell>
          <cell r="DS115">
            <v>0</v>
          </cell>
        </row>
        <row r="116">
          <cell r="B116">
            <v>705189</v>
          </cell>
          <cell r="C116" t="str">
            <v>SICRO</v>
          </cell>
          <cell r="D116" t="str">
            <v>Corpo BSCC 2,00 x 2,00 m - moldado no local - altura do aterro 5,00 a 7,50 m - areia e brita comerciais</v>
          </cell>
          <cell r="E116" t="str">
            <v>m</v>
          </cell>
          <cell r="F116">
            <v>2645.1389958</v>
          </cell>
          <cell r="G116">
            <v>2645.1389958</v>
          </cell>
          <cell r="H116">
            <v>2645.1389958</v>
          </cell>
          <cell r="I116">
            <v>0</v>
          </cell>
          <cell r="J116">
            <v>2762.4642972699999</v>
          </cell>
          <cell r="K116">
            <v>2762.4642972699999</v>
          </cell>
          <cell r="L116">
            <v>2762.4642972699999</v>
          </cell>
          <cell r="W116" t="str">
            <v>M2184</v>
          </cell>
          <cell r="X116" t="str">
            <v>Tubo de concreto armado PA 2 - D = 1,50 m - Guindauto 20 t.m</v>
          </cell>
          <cell r="Y116" t="str">
            <v>m</v>
          </cell>
          <cell r="Z116">
            <v>623.97839999999997</v>
          </cell>
          <cell r="AA116">
            <v>0</v>
          </cell>
          <cell r="BC116" t="str">
            <v>M2184</v>
          </cell>
          <cell r="BD116" t="str">
            <v>Tubo de concreto armado PA 2 - D = 1,50 m - Guindauto 20 t.m</v>
          </cell>
          <cell r="BE116" t="str">
            <v>m</v>
          </cell>
          <cell r="BF116">
            <v>579.87139999999999</v>
          </cell>
          <cell r="BG116">
            <v>0</v>
          </cell>
          <cell r="CC116">
            <v>0</v>
          </cell>
          <cell r="CD116" t="str">
            <v>Fornecimento de Material Betuminoso c/ polímero SBS</v>
          </cell>
          <cell r="CE116" t="str">
            <v>t</v>
          </cell>
          <cell r="CF116" t="str">
            <v>0,057732 t</v>
          </cell>
          <cell r="CG116">
            <v>5.542272E-3</v>
          </cell>
          <cell r="CH116">
            <v>1</v>
          </cell>
          <cell r="CI116" t="str">
            <v>CPU10</v>
          </cell>
          <cell r="CJ116">
            <v>4481.4349761078774</v>
          </cell>
          <cell r="CK116">
            <v>24.837331587903357</v>
          </cell>
          <cell r="CL116" t="str">
            <v>CPU10-1</v>
          </cell>
          <cell r="CM116">
            <v>4614.4401264709131</v>
          </cell>
          <cell r="CN116">
            <v>25.574482308616201</v>
          </cell>
          <cell r="DN116" t="str">
            <v>Diretor de Engenharia</v>
          </cell>
          <cell r="DO116">
            <v>42286.41</v>
          </cell>
          <cell r="DP116">
            <v>46518.79</v>
          </cell>
          <cell r="DQ116">
            <v>1.0335248790636142</v>
          </cell>
          <cell r="DR116">
            <v>43704.056781284409</v>
          </cell>
          <cell r="DS116">
            <v>33798.152396166573</v>
          </cell>
        </row>
        <row r="117">
          <cell r="B117">
            <v>705203</v>
          </cell>
          <cell r="C117" t="str">
            <v>SICRO</v>
          </cell>
          <cell r="D117" t="str">
            <v>Corpo BSCC 2,50 x 2,50 m - moldado no local - altura do aterro 5,00 a 7,50 m - areia e brita comerciais</v>
          </cell>
          <cell r="E117" t="str">
            <v>m</v>
          </cell>
          <cell r="F117">
            <v>3721.1751855000002</v>
          </cell>
          <cell r="G117">
            <v>3721.1751855000002</v>
          </cell>
          <cell r="H117">
            <v>3721.1751855000002</v>
          </cell>
          <cell r="I117">
            <v>0</v>
          </cell>
          <cell r="J117">
            <v>3885.4814082779999</v>
          </cell>
          <cell r="K117">
            <v>3885.4814082779999</v>
          </cell>
          <cell r="L117">
            <v>3885.4814082779999</v>
          </cell>
          <cell r="W117" t="str">
            <v>E9660</v>
          </cell>
          <cell r="X117" t="str">
            <v>Guindaste sobre esteiras - 220 kW</v>
          </cell>
          <cell r="Y117" t="str">
            <v>h</v>
          </cell>
          <cell r="Z117">
            <v>393.71589999999998</v>
          </cell>
          <cell r="AA117">
            <v>161.66149999999999</v>
          </cell>
          <cell r="BC117" t="str">
            <v>E9660</v>
          </cell>
          <cell r="BD117" t="str">
            <v>Guindaste sobre esteiras - 220 kW</v>
          </cell>
          <cell r="BE117" t="str">
            <v>h</v>
          </cell>
          <cell r="BF117">
            <v>391.9273</v>
          </cell>
          <cell r="BG117">
            <v>161.84030000000001</v>
          </cell>
          <cell r="CC117">
            <v>0</v>
          </cell>
          <cell r="CD117" t="str">
            <v>Pintura de ligação</v>
          </cell>
          <cell r="CE117" t="str">
            <v>m²</v>
          </cell>
          <cell r="CF117">
            <v>1</v>
          </cell>
          <cell r="CG117">
            <v>1</v>
          </cell>
          <cell r="CH117">
            <v>1</v>
          </cell>
          <cell r="CI117">
            <v>4011353</v>
          </cell>
          <cell r="CJ117">
            <v>0.18392808219669335</v>
          </cell>
          <cell r="CK117">
            <v>0.24158953596535671</v>
          </cell>
          <cell r="CL117">
            <v>4011353</v>
          </cell>
          <cell r="CM117">
            <v>0.18912484066666665</v>
          </cell>
          <cell r="CN117">
            <v>0.24841547821566662</v>
          </cell>
          <cell r="DN117" t="str">
            <v>Gerência de Planejamento e Controle</v>
          </cell>
          <cell r="DO117">
            <v>0</v>
          </cell>
          <cell r="DP117">
            <v>0</v>
          </cell>
          <cell r="DQ117">
            <v>0</v>
          </cell>
          <cell r="DR117">
            <v>0</v>
          </cell>
          <cell r="DS117">
            <v>0</v>
          </cell>
        </row>
        <row r="118">
          <cell r="B118">
            <v>705217</v>
          </cell>
          <cell r="C118" t="str">
            <v>SICRO</v>
          </cell>
          <cell r="D118" t="str">
            <v>Corpo BSCC 3,00 x 3,00 m - moldado no local - altura do aterro 5,00 a 7,50 m - areia e brita comerciais</v>
          </cell>
          <cell r="E118" t="str">
            <v>m</v>
          </cell>
          <cell r="F118">
            <v>5145.1870580000004</v>
          </cell>
          <cell r="G118">
            <v>5145.1870580000004</v>
          </cell>
          <cell r="H118">
            <v>5145.1870580000004</v>
          </cell>
          <cell r="I118">
            <v>0</v>
          </cell>
          <cell r="J118">
            <v>5369.3912138459991</v>
          </cell>
          <cell r="K118">
            <v>5369.3912138459991</v>
          </cell>
          <cell r="L118">
            <v>5369.3912138459991</v>
          </cell>
          <cell r="W118">
            <v>2003867</v>
          </cell>
          <cell r="X118" t="str">
            <v xml:space="preserve">Aplicação de geotextil não-tecido agulhado RT 31 </v>
          </cell>
          <cell r="Y118" t="str">
            <v>m²</v>
          </cell>
          <cell r="Z118">
            <v>17.34</v>
          </cell>
          <cell r="AA118">
            <v>0</v>
          </cell>
          <cell r="BC118">
            <v>2003867</v>
          </cell>
          <cell r="BD118" t="str">
            <v xml:space="preserve">Aplicação de geotextil não-tecido agulhado RT 31 </v>
          </cell>
          <cell r="BE118" t="str">
            <v>m²</v>
          </cell>
          <cell r="BF118">
            <v>15.85</v>
          </cell>
          <cell r="BG118">
            <v>0</v>
          </cell>
          <cell r="CC118">
            <v>0</v>
          </cell>
          <cell r="CD118" t="str">
            <v>Fornecimento de emulsão RR-1C</v>
          </cell>
          <cell r="CE118" t="str">
            <v>t</v>
          </cell>
          <cell r="CF118" t="str">
            <v>0,00045 t</v>
          </cell>
          <cell r="CG118">
            <v>4.4999999999999999E-4</v>
          </cell>
          <cell r="CH118">
            <v>1</v>
          </cell>
          <cell r="CI118" t="str">
            <v>CPU04</v>
          </cell>
          <cell r="CJ118">
            <v>2511.8507594331254</v>
          </cell>
          <cell r="CK118">
            <v>1.1303328417449063</v>
          </cell>
          <cell r="CL118" t="str">
            <v>CPU04-1</v>
          </cell>
          <cell r="CM118">
            <v>2535.6603093736671</v>
          </cell>
          <cell r="CN118">
            <v>1.1410471392181503</v>
          </cell>
          <cell r="DN118" t="str">
            <v>Gerente de Planejamento e Controle</v>
          </cell>
          <cell r="DO118">
            <v>16274.85</v>
          </cell>
          <cell r="DP118">
            <v>19860.259999999998</v>
          </cell>
          <cell r="DQ118">
            <v>1.0335248790636142</v>
          </cell>
          <cell r="DR118">
            <v>16820.462378028464</v>
          </cell>
          <cell r="DS118">
            <v>13525.233856671264</v>
          </cell>
        </row>
        <row r="119">
          <cell r="B119">
            <v>705277</v>
          </cell>
          <cell r="C119" t="str">
            <v>SICRO</v>
          </cell>
          <cell r="D119" t="str">
            <v>Corpo BDCC 2,00 x 2,00 m - moldado no local - altura do aterro 5,00 a 7,50 m - areia e brita comerciais</v>
          </cell>
          <cell r="E119" t="str">
            <v>m</v>
          </cell>
          <cell r="F119">
            <v>4404.8057527000001</v>
          </cell>
          <cell r="G119">
            <v>4404.8057527000001</v>
          </cell>
          <cell r="H119">
            <v>4404.8057527000001</v>
          </cell>
          <cell r="I119">
            <v>0</v>
          </cell>
          <cell r="J119">
            <v>4600.8432325599988</v>
          </cell>
          <cell r="K119">
            <v>4600.8432325599988</v>
          </cell>
          <cell r="L119">
            <v>4600.8432325599988</v>
          </cell>
          <cell r="W119">
            <v>1109669</v>
          </cell>
          <cell r="X119" t="str">
            <v xml:space="preserve">Argamassa de cimento e areia 1:3 - areia comercial </v>
          </cell>
          <cell r="Y119" t="str">
            <v>m³</v>
          </cell>
          <cell r="Z119">
            <v>333.7</v>
          </cell>
          <cell r="AA119">
            <v>0</v>
          </cell>
          <cell r="BC119">
            <v>1109669</v>
          </cell>
          <cell r="BD119" t="str">
            <v xml:space="preserve">Argamassa de cimento e areia 1:3 - areia comercial </v>
          </cell>
          <cell r="BE119" t="str">
            <v>m³</v>
          </cell>
          <cell r="BF119">
            <v>323.18</v>
          </cell>
          <cell r="BG119">
            <v>0</v>
          </cell>
          <cell r="CC119">
            <v>0</v>
          </cell>
          <cell r="CD119" t="str">
            <v>Pintura de faixa - tinta base acrílica - espessura de 0,6 mm</v>
          </cell>
          <cell r="CE119" t="str">
            <v>m²</v>
          </cell>
          <cell r="CF119" t="str">
            <v>2 faixas cont. + 1 faixa não cont.</v>
          </cell>
          <cell r="CG119">
            <v>4.4871794871794872E-2</v>
          </cell>
          <cell r="CH119">
            <v>1</v>
          </cell>
          <cell r="CI119">
            <v>5213401</v>
          </cell>
          <cell r="CJ119">
            <v>20.390807290896916</v>
          </cell>
          <cell r="CK119">
            <v>1.2018158822830236</v>
          </cell>
          <cell r="CL119">
            <v>5213401</v>
          </cell>
          <cell r="CM119">
            <v>22.71825438768407</v>
          </cell>
          <cell r="CN119">
            <v>1.3389935254330845</v>
          </cell>
          <cell r="DN119" t="str">
            <v>Engenheiro de Planejamento</v>
          </cell>
          <cell r="DO119">
            <v>7177.02</v>
          </cell>
          <cell r="DP119">
            <v>7674.8</v>
          </cell>
          <cell r="DQ119">
            <v>1.0335248790636142</v>
          </cell>
          <cell r="DR119">
            <v>7417.6287275371415</v>
          </cell>
          <cell r="DS119">
            <v>6434.5570008357581</v>
          </cell>
        </row>
        <row r="120">
          <cell r="B120">
            <v>705291</v>
          </cell>
          <cell r="C120" t="str">
            <v>SICRO</v>
          </cell>
          <cell r="D120" t="str">
            <v>Corpo BDCC 2,50 x 2,50 m - moldado no local - altura do aterro 5,00 a 7,50 m - areia e brita comerciais</v>
          </cell>
          <cell r="E120" t="str">
            <v>m</v>
          </cell>
          <cell r="F120">
            <v>5919.9328383000002</v>
          </cell>
          <cell r="G120">
            <v>5919.9328383000002</v>
          </cell>
          <cell r="H120">
            <v>5919.9328383000002</v>
          </cell>
          <cell r="I120">
            <v>0</v>
          </cell>
          <cell r="J120">
            <v>6174.851504532</v>
          </cell>
          <cell r="K120">
            <v>6174.851504532</v>
          </cell>
          <cell r="L120">
            <v>6174.851504532</v>
          </cell>
          <cell r="W120">
            <v>1106057</v>
          </cell>
          <cell r="X120" t="str">
            <v xml:space="preserve">Concreto magro - confecção em betoneira e lançamento manual - areia e brita comerciais </v>
          </cell>
          <cell r="Y120" t="str">
            <v>m³</v>
          </cell>
          <cell r="Z120">
            <v>290.89</v>
          </cell>
          <cell r="AA120">
            <v>0</v>
          </cell>
          <cell r="BC120">
            <v>1106057</v>
          </cell>
          <cell r="BD120" t="str">
            <v xml:space="preserve">Concreto magro - confecção em betoneira e lançamento manual - areia e brita comerciais </v>
          </cell>
          <cell r="BE120" t="str">
            <v>m³</v>
          </cell>
          <cell r="BF120">
            <v>268.81</v>
          </cell>
          <cell r="BG120">
            <v>0</v>
          </cell>
          <cell r="CC120">
            <v>0</v>
          </cell>
          <cell r="CD120" t="str">
            <v>Tacha refletiva monodirecional - fornecimento e colocação</v>
          </cell>
          <cell r="CE120" t="str">
            <v>un</v>
          </cell>
          <cell r="CF120" t="str">
            <v>3 / 16m / 7,8m largura</v>
          </cell>
          <cell r="CG120">
            <v>2.403846153846154E-2</v>
          </cell>
          <cell r="CH120">
            <v>1</v>
          </cell>
          <cell r="CI120">
            <v>5213359</v>
          </cell>
          <cell r="CJ120">
            <v>12.189996472111552</v>
          </cell>
          <cell r="CK120">
            <v>0.38489327803169532</v>
          </cell>
          <cell r="CL120">
            <v>5213359</v>
          </cell>
          <cell r="CM120">
            <v>14.739324009960159</v>
          </cell>
          <cell r="CN120">
            <v>0.46538706940102564</v>
          </cell>
          <cell r="DN120" t="str">
            <v>Assistente Técnico de Planejamento</v>
          </cell>
          <cell r="DO120">
            <v>2380.12</v>
          </cell>
          <cell r="DP120">
            <v>2722.59</v>
          </cell>
          <cell r="DQ120">
            <v>1.0335248790636142</v>
          </cell>
          <cell r="DR120">
            <v>2459.9132351568892</v>
          </cell>
          <cell r="DS120">
            <v>2695.9437480318102</v>
          </cell>
        </row>
        <row r="121">
          <cell r="B121">
            <v>705305</v>
          </cell>
          <cell r="C121" t="str">
            <v>SICRO</v>
          </cell>
          <cell r="D121" t="str">
            <v>Corpo BDCC 3,00 x 3,00 m - moldado no local - altura do aterro 5,00 a 7,50 m - areia e brita comerciais</v>
          </cell>
          <cell r="E121" t="str">
            <v>m</v>
          </cell>
          <cell r="F121">
            <v>7921.0064920999994</v>
          </cell>
          <cell r="G121">
            <v>7921.0064920999994</v>
          </cell>
          <cell r="H121">
            <v>7921.0064920999994</v>
          </cell>
          <cell r="I121">
            <v>0</v>
          </cell>
          <cell r="J121">
            <v>8263.6151588960001</v>
          </cell>
          <cell r="K121">
            <v>8263.6151588960001</v>
          </cell>
          <cell r="L121">
            <v>8263.6151588960001</v>
          </cell>
          <cell r="W121">
            <v>6817795</v>
          </cell>
          <cell r="X121" t="str">
            <v xml:space="preserve">Confecção de BSCC - seção 3,0 x 3,0 m fechada - tipo I - areia e brita comerciais </v>
          </cell>
          <cell r="Y121" t="str">
            <v>m</v>
          </cell>
          <cell r="Z121">
            <v>2291.42</v>
          </cell>
          <cell r="AA121">
            <v>0</v>
          </cell>
          <cell r="BC121">
            <v>6817795</v>
          </cell>
          <cell r="BD121" t="str">
            <v xml:space="preserve">Confecção de BSCC - seção 3,0 x 3,0 m fechada - tipo I - areia e brita comerciais </v>
          </cell>
          <cell r="BE121" t="str">
            <v>m</v>
          </cell>
          <cell r="BF121">
            <v>2208.79</v>
          </cell>
          <cell r="BG121">
            <v>0</v>
          </cell>
          <cell r="CC121">
            <v>0</v>
          </cell>
          <cell r="CD121" t="str">
            <v>Tacha refletiva metálica com dois pinos - bidirecional - fornecimento e colocação</v>
          </cell>
          <cell r="CE121" t="str">
            <v>un</v>
          </cell>
          <cell r="CF121" t="str">
            <v>não aplicada</v>
          </cell>
          <cell r="CG121">
            <v>0</v>
          </cell>
          <cell r="CH121">
            <v>1</v>
          </cell>
          <cell r="CI121">
            <v>5213395</v>
          </cell>
          <cell r="CJ121">
            <v>32.534966247709477</v>
          </cell>
          <cell r="CK121">
            <v>0</v>
          </cell>
          <cell r="CL121">
            <v>5213395</v>
          </cell>
          <cell r="CM121">
            <v>34.530034902548728</v>
          </cell>
          <cell r="CN121">
            <v>0</v>
          </cell>
          <cell r="DN121" t="str">
            <v>Engenheiro Pleno</v>
          </cell>
          <cell r="DO121">
            <v>9139.17</v>
          </cell>
          <cell r="DP121">
            <v>9823.92</v>
          </cell>
          <cell r="DQ121">
            <v>1.0335248790636142</v>
          </cell>
          <cell r="DR121">
            <v>9445.5595689918118</v>
          </cell>
          <cell r="DS121">
            <v>7963.8196483767251</v>
          </cell>
        </row>
        <row r="122">
          <cell r="B122">
            <v>804081</v>
          </cell>
          <cell r="C122" t="str">
            <v>SICRO</v>
          </cell>
          <cell r="D122" t="str">
            <v>Boca BSTC D = 0,60 m - esconsidade 0° - areia e brita comerciais - alas retas</v>
          </cell>
          <cell r="E122" t="str">
            <v>un</v>
          </cell>
          <cell r="F122">
            <v>605.95051999999998</v>
          </cell>
          <cell r="G122">
            <v>605.95051999999998</v>
          </cell>
          <cell r="H122">
            <v>605.95051999999998</v>
          </cell>
          <cell r="I122">
            <v>0</v>
          </cell>
          <cell r="J122">
            <v>641.37591999999995</v>
          </cell>
          <cell r="K122">
            <v>641.37591999999995</v>
          </cell>
          <cell r="L122">
            <v>641.37591999999995</v>
          </cell>
          <cell r="W122">
            <v>6817795</v>
          </cell>
          <cell r="X122" t="str">
            <v>Confecção de BSCC - seção 3,0 x 3,0 m fechada - tipo I - areia e brita comerciais  - Cavalo mecânico 22 t</v>
          </cell>
          <cell r="Y122" t="str">
            <v>m</v>
          </cell>
          <cell r="Z122">
            <v>2291.42</v>
          </cell>
          <cell r="AA122">
            <v>0</v>
          </cell>
          <cell r="BC122">
            <v>6817795</v>
          </cell>
          <cell r="BD122" t="str">
            <v>Confecção de BSCC - seção 3,0 x 3,0 m fechada - tipo I - areia e brita comerciais  - Cavalo mecânico 22 t</v>
          </cell>
          <cell r="BE122" t="str">
            <v>m</v>
          </cell>
          <cell r="BF122">
            <v>2208.79</v>
          </cell>
          <cell r="BG122">
            <v>0</v>
          </cell>
          <cell r="CC122" t="str">
            <v>F4R5</v>
          </cell>
          <cell r="CD122" t="str">
            <v xml:space="preserve"> (4,0cm) FRESAGEM +(5,0cm) CBUQ C/ POLÍMERO</v>
          </cell>
          <cell r="CE122">
            <v>0</v>
          </cell>
          <cell r="CF122">
            <v>0</v>
          </cell>
          <cell r="CG122">
            <v>0</v>
          </cell>
          <cell r="CH122">
            <v>0</v>
          </cell>
          <cell r="CI122">
            <v>0</v>
          </cell>
          <cell r="CJ122">
            <v>0</v>
          </cell>
          <cell r="CK122">
            <v>58.095639373203817</v>
          </cell>
          <cell r="CL122">
            <v>0</v>
          </cell>
          <cell r="CM122">
            <v>0</v>
          </cell>
          <cell r="CN122">
            <v>60.940275250996081</v>
          </cell>
          <cell r="DN122" t="str">
            <v>Supervisor de Contratações</v>
          </cell>
          <cell r="DO122">
            <v>5080.79</v>
          </cell>
          <cell r="DP122">
            <v>5622.51</v>
          </cell>
          <cell r="DQ122">
            <v>1.0335248790636142</v>
          </cell>
          <cell r="DR122">
            <v>5251.1228702976205</v>
          </cell>
          <cell r="DS122">
            <v>4800.794933891435</v>
          </cell>
        </row>
        <row r="123">
          <cell r="B123">
            <v>804385</v>
          </cell>
          <cell r="C123" t="str">
            <v>SICRO</v>
          </cell>
          <cell r="D123" t="str">
            <v>Boca BSTC D = 0,80 m - esconsidade 0° - areia e brita comerciais - alas esconsas</v>
          </cell>
          <cell r="E123" t="str">
            <v>un</v>
          </cell>
          <cell r="F123">
            <v>1514.5198</v>
          </cell>
          <cell r="G123">
            <v>1514.5198</v>
          </cell>
          <cell r="H123">
            <v>1514.5198</v>
          </cell>
          <cell r="I123">
            <v>0</v>
          </cell>
          <cell r="J123">
            <v>1602.0504000000001</v>
          </cell>
          <cell r="K123">
            <v>1602.0504000000001</v>
          </cell>
          <cell r="L123">
            <v>1602.0504000000001</v>
          </cell>
          <cell r="W123">
            <v>1107892</v>
          </cell>
          <cell r="X123" t="str">
            <v xml:space="preserve">Concreto fck = 20 MPa - confecção em betoneira e lançamento manual - areia e brita comerciais </v>
          </cell>
          <cell r="Y123" t="str">
            <v>m³</v>
          </cell>
          <cell r="Z123">
            <v>325.31</v>
          </cell>
          <cell r="AA123">
            <v>0</v>
          </cell>
          <cell r="BC123">
            <v>1107892</v>
          </cell>
          <cell r="BD123" t="str">
            <v xml:space="preserve">Concreto fck = 20 MPa - confecção em betoneira e lançamento manual - areia e brita comerciais </v>
          </cell>
          <cell r="BE123" t="str">
            <v>m³</v>
          </cell>
          <cell r="BF123">
            <v>304.66000000000003</v>
          </cell>
          <cell r="BG123">
            <v>0</v>
          </cell>
          <cell r="CC123" t="str">
            <v>(m²)</v>
          </cell>
          <cell r="CD123" t="str">
            <v>Fresagem descontínua de revestimento betuminoso</v>
          </cell>
          <cell r="CE123" t="str">
            <v>m³</v>
          </cell>
          <cell r="CF123">
            <v>4</v>
          </cell>
          <cell r="CG123">
            <v>0.04</v>
          </cell>
          <cell r="CH123">
            <v>1</v>
          </cell>
          <cell r="CI123">
            <v>4011480</v>
          </cell>
          <cell r="CJ123">
            <v>50.02322121102204</v>
          </cell>
          <cell r="CK123">
            <v>2.6282200424270976</v>
          </cell>
          <cell r="CL123">
            <v>4011480</v>
          </cell>
          <cell r="CM123">
            <v>50.377443150593948</v>
          </cell>
          <cell r="CN123">
            <v>2.6468308631322057</v>
          </cell>
          <cell r="DN123" t="str">
            <v>Auxiliar Técnico de Documentações</v>
          </cell>
          <cell r="DO123">
            <v>1574.24</v>
          </cell>
          <cell r="DP123">
            <v>1700.83</v>
          </cell>
          <cell r="DQ123">
            <v>1.0335248790636142</v>
          </cell>
          <cell r="DR123">
            <v>1627.0162056171041</v>
          </cell>
          <cell r="DS123">
            <v>2067.8560980558582</v>
          </cell>
        </row>
        <row r="124">
          <cell r="B124">
            <v>804101</v>
          </cell>
          <cell r="C124" t="str">
            <v>SICRO</v>
          </cell>
          <cell r="D124" t="str">
            <v>Boca BSTC D = 0,80 m - esconsidade 0° - areia e brita comerciais - alas retas</v>
          </cell>
          <cell r="E124" t="str">
            <v>un</v>
          </cell>
          <cell r="F124">
            <v>1020.65714</v>
          </cell>
          <cell r="G124">
            <v>1020.65714</v>
          </cell>
          <cell r="H124">
            <v>1020.65714</v>
          </cell>
          <cell r="I124">
            <v>0</v>
          </cell>
          <cell r="J124">
            <v>1080.58989</v>
          </cell>
          <cell r="K124">
            <v>1080.58989</v>
          </cell>
          <cell r="L124">
            <v>1080.58989</v>
          </cell>
          <cell r="W124">
            <v>3106121</v>
          </cell>
          <cell r="X124" t="str">
            <v>Formas de tábuas de pinho - utilização de 3 vezes - fornecimento, instalação e retirada</v>
          </cell>
          <cell r="Y124" t="str">
            <v>m²</v>
          </cell>
          <cell r="Z124">
            <v>81.099999999999994</v>
          </cell>
          <cell r="AA124">
            <v>0</v>
          </cell>
          <cell r="BC124">
            <v>3106121</v>
          </cell>
          <cell r="BD124" t="str">
            <v>Formas de tábuas de pinho - utilização de 3 vezes - fornecimento, instalação e retirada</v>
          </cell>
          <cell r="BE124" t="str">
            <v>m²</v>
          </cell>
          <cell r="BF124">
            <v>77.22</v>
          </cell>
          <cell r="BG124">
            <v>0</v>
          </cell>
          <cell r="CC124">
            <v>0</v>
          </cell>
          <cell r="CD124" t="str">
            <v>Carga, manobra e descarga de areia, brita, pedra de mão ou solos em caminhão basculante de 10 m³ - carga com carregadeira e descarga livre</v>
          </cell>
          <cell r="CE124" t="str">
            <v>t</v>
          </cell>
          <cell r="CF124" t="str">
            <v>2,4t/m³</v>
          </cell>
          <cell r="CG124">
            <v>9.6000000000000002E-2</v>
          </cell>
          <cell r="CH124">
            <v>1</v>
          </cell>
          <cell r="CI124">
            <v>5915407</v>
          </cell>
          <cell r="CJ124">
            <v>1.6993770350671593</v>
          </cell>
          <cell r="CK124">
            <v>0.21428464661382851</v>
          </cell>
          <cell r="CL124">
            <v>5914352</v>
          </cell>
          <cell r="CM124">
            <v>9.5803793626707137</v>
          </cell>
          <cell r="CN124">
            <v>1.2080475161153263</v>
          </cell>
          <cell r="DN124" t="str">
            <v>Assistente Técnico de Medições</v>
          </cell>
          <cell r="DO124">
            <v>2380.12</v>
          </cell>
          <cell r="DP124">
            <v>2722.59</v>
          </cell>
          <cell r="DQ124">
            <v>1.0335248790636142</v>
          </cell>
          <cell r="DR124">
            <v>2459.9132351568892</v>
          </cell>
          <cell r="DS124">
            <v>2695.9437480318102</v>
          </cell>
        </row>
        <row r="125">
          <cell r="B125">
            <v>804393</v>
          </cell>
          <cell r="C125" t="str">
            <v>SICRO</v>
          </cell>
          <cell r="D125" t="str">
            <v>Boca BSTC D = 1,00 m - esconsidade 0° - areia e brita comerciais - alas esconsas</v>
          </cell>
          <cell r="E125" t="str">
            <v>un</v>
          </cell>
          <cell r="F125">
            <v>2297.5318200000002</v>
          </cell>
          <cell r="G125">
            <v>2297.5318200000002</v>
          </cell>
          <cell r="H125">
            <v>2297.5318200000002</v>
          </cell>
          <cell r="I125">
            <v>0</v>
          </cell>
          <cell r="J125">
            <v>2432.0287699999999</v>
          </cell>
          <cell r="K125">
            <v>2432.0287699999999</v>
          </cell>
          <cell r="L125">
            <v>2432.0287699999999</v>
          </cell>
          <cell r="W125" t="str">
            <v>E9052</v>
          </cell>
          <cell r="X125" t="str">
            <v>Empilhadeira a diesel com capacidade de 10 t - 100 kW</v>
          </cell>
          <cell r="Y125" t="str">
            <v>h</v>
          </cell>
          <cell r="Z125">
            <v>148.47989999999999</v>
          </cell>
          <cell r="AA125">
            <v>68.096000000000004</v>
          </cell>
          <cell r="BC125" t="str">
            <v>E9052</v>
          </cell>
          <cell r="BD125" t="str">
            <v>Empilhadeira a diesel com capacidade de 10 t - 100 kW</v>
          </cell>
          <cell r="BE125" t="str">
            <v>h</v>
          </cell>
          <cell r="BF125">
            <v>140.92179999999999</v>
          </cell>
          <cell r="BG125">
            <v>61.433900000000001</v>
          </cell>
          <cell r="CC125">
            <v>0</v>
          </cell>
          <cell r="CD125" t="str">
            <v>Transporte com caminhão basculante de 12m³ - rodovia em revestimento primário</v>
          </cell>
          <cell r="CE125" t="str">
            <v>tkm</v>
          </cell>
          <cell r="CF125" t="str">
            <v>DMT = 10km</v>
          </cell>
          <cell r="CG125">
            <v>0.96</v>
          </cell>
          <cell r="CH125">
            <v>1</v>
          </cell>
          <cell r="CI125">
            <v>5914335</v>
          </cell>
          <cell r="CJ125">
            <v>0.49810144567068276</v>
          </cell>
          <cell r="CK125">
            <v>0.62808599893290407</v>
          </cell>
          <cell r="CL125">
            <v>5914335</v>
          </cell>
          <cell r="CM125">
            <v>0.49824066306827308</v>
          </cell>
          <cell r="CN125">
            <v>0.62826154650256949</v>
          </cell>
          <cell r="DN125" t="str">
            <v>Assistente Técnico de Contratações</v>
          </cell>
          <cell r="DO125">
            <v>2380.12</v>
          </cell>
          <cell r="DP125">
            <v>2722.59</v>
          </cell>
          <cell r="DQ125">
            <v>1.0335248790636142</v>
          </cell>
          <cell r="DR125">
            <v>2459.9132351568892</v>
          </cell>
          <cell r="DS125">
            <v>2695.9437480318102</v>
          </cell>
        </row>
        <row r="126">
          <cell r="B126">
            <v>804121</v>
          </cell>
          <cell r="C126" t="str">
            <v>SICRO</v>
          </cell>
          <cell r="D126" t="str">
            <v>Boca BSTC D = 1,00 m - esconsidade 0° - areia e brita comerciais - alas retas</v>
          </cell>
          <cell r="E126" t="str">
            <v>un</v>
          </cell>
          <cell r="F126">
            <v>1513.4048400000001</v>
          </cell>
          <cell r="G126">
            <v>1513.4048400000001</v>
          </cell>
          <cell r="H126">
            <v>1513.4048400000001</v>
          </cell>
          <cell r="I126">
            <v>0</v>
          </cell>
          <cell r="J126">
            <v>1602.8773399999998</v>
          </cell>
          <cell r="K126">
            <v>1602.8773399999998</v>
          </cell>
          <cell r="L126">
            <v>1602.8773399999998</v>
          </cell>
          <cell r="W126" t="str">
            <v>E9763</v>
          </cell>
          <cell r="X126" t="str">
            <v>Grupo gerador - 36/40 kVA</v>
          </cell>
          <cell r="Y126" t="str">
            <v>h</v>
          </cell>
          <cell r="Z126">
            <v>19.773299999999999</v>
          </cell>
          <cell r="AA126">
            <v>2.8073999999999999</v>
          </cell>
          <cell r="BC126" t="str">
            <v>E9763</v>
          </cell>
          <cell r="BD126" t="str">
            <v>Grupo gerador - 36/40 kVA</v>
          </cell>
          <cell r="BE126" t="str">
            <v>h</v>
          </cell>
          <cell r="BF126">
            <v>19.4682</v>
          </cell>
          <cell r="BG126">
            <v>2.7704</v>
          </cell>
          <cell r="CC126">
            <v>0</v>
          </cell>
          <cell r="CD126" t="str">
            <v>Concreto asfáltico com asfalto polímero - faixa C - areia e brita comerciais</v>
          </cell>
          <cell r="CE126" t="str">
            <v>t</v>
          </cell>
          <cell r="CF126">
            <v>5</v>
          </cell>
          <cell r="CG126">
            <v>0.12</v>
          </cell>
          <cell r="CH126">
            <v>1</v>
          </cell>
          <cell r="CI126">
            <v>4011466</v>
          </cell>
          <cell r="CJ126">
            <v>130.81939260452867</v>
          </cell>
          <cell r="CK126">
            <v>20.619752662325809</v>
          </cell>
          <cell r="CL126">
            <v>4011466</v>
          </cell>
          <cell r="CM126">
            <v>135.10461380032868</v>
          </cell>
          <cell r="CN126">
            <v>21.295189227207803</v>
          </cell>
          <cell r="DN126" t="str">
            <v>Gerência de Projeto e Meio Ambiente</v>
          </cell>
          <cell r="DO126">
            <v>0</v>
          </cell>
          <cell r="DP126">
            <v>0</v>
          </cell>
          <cell r="DQ126">
            <v>0</v>
          </cell>
          <cell r="DR126">
            <v>0</v>
          </cell>
          <cell r="DS126">
            <v>0</v>
          </cell>
        </row>
        <row r="127">
          <cell r="B127">
            <v>804409</v>
          </cell>
          <cell r="C127" t="str">
            <v>SICRO</v>
          </cell>
          <cell r="D127" t="str">
            <v>Boca BSTC D = 1,50 m - esconsidade 0° - areia e brita comerciais - alas esconsas</v>
          </cell>
          <cell r="E127" t="str">
            <v>un</v>
          </cell>
          <cell r="F127">
            <v>5806.1134000000002</v>
          </cell>
          <cell r="G127">
            <v>5806.1134000000002</v>
          </cell>
          <cell r="H127">
            <v>5806.1134000000002</v>
          </cell>
          <cell r="I127">
            <v>0</v>
          </cell>
          <cell r="J127">
            <v>6155.5951000000005</v>
          </cell>
          <cell r="K127">
            <v>6155.5951000000005</v>
          </cell>
          <cell r="L127">
            <v>6155.5951000000005</v>
          </cell>
          <cell r="W127" t="str">
            <v>E9022</v>
          </cell>
          <cell r="X127" t="str">
            <v>Pórtico rolante com capacidade de 25 t - 30 kW</v>
          </cell>
          <cell r="Y127" t="str">
            <v>h</v>
          </cell>
          <cell r="Z127">
            <v>71.343800000000002</v>
          </cell>
          <cell r="AA127">
            <v>55.537700000000001</v>
          </cell>
          <cell r="BC127" t="str">
            <v>E9022</v>
          </cell>
          <cell r="BD127" t="str">
            <v>Pórtico rolante com capacidade de 25 t - 30 kW</v>
          </cell>
          <cell r="BE127" t="str">
            <v>h</v>
          </cell>
          <cell r="BF127">
            <v>64.452699999999993</v>
          </cell>
          <cell r="BG127">
            <v>48.764200000000002</v>
          </cell>
          <cell r="CC127">
            <v>0</v>
          </cell>
          <cell r="CD127" t="str">
            <v>Fornecimento de Material Betuminoso c/ polímero SBS</v>
          </cell>
          <cell r="CE127" t="str">
            <v>t</v>
          </cell>
          <cell r="CF127" t="str">
            <v>0,057732 t</v>
          </cell>
          <cell r="CG127">
            <v>6.9278399999999993E-3</v>
          </cell>
          <cell r="CH127">
            <v>1</v>
          </cell>
          <cell r="CI127" t="str">
            <v>CPU10</v>
          </cell>
          <cell r="CJ127">
            <v>4481.4349761078774</v>
          </cell>
          <cell r="CK127">
            <v>31.046664484879194</v>
          </cell>
          <cell r="CL127" t="str">
            <v>CPU10-1</v>
          </cell>
          <cell r="CM127">
            <v>4614.4401264709131</v>
          </cell>
          <cell r="CN127">
            <v>31.968102885770247</v>
          </cell>
          <cell r="DN127" t="str">
            <v>Gerente de Projetos e Meio Ambiente</v>
          </cell>
          <cell r="DO127">
            <v>20603.48</v>
          </cell>
          <cell r="DP127">
            <v>23405.66</v>
          </cell>
          <cell r="DQ127">
            <v>1.0335248790636142</v>
          </cell>
          <cell r="DR127">
            <v>21294.209175289594</v>
          </cell>
          <cell r="DS127">
            <v>16898.886316485885</v>
          </cell>
        </row>
        <row r="128">
          <cell r="B128">
            <v>804417</v>
          </cell>
          <cell r="C128" t="str">
            <v>SICRO</v>
          </cell>
          <cell r="D128" t="str">
            <v>Boca BDTC D = 1,00 m - esconsidade 0° - areia e brita comerciais - alas esconsas</v>
          </cell>
          <cell r="E128" t="str">
            <v>un</v>
          </cell>
          <cell r="F128">
            <v>3183.39156</v>
          </cell>
          <cell r="G128">
            <v>3183.39156</v>
          </cell>
          <cell r="H128">
            <v>3183.39156</v>
          </cell>
          <cell r="I128">
            <v>0</v>
          </cell>
          <cell r="J128">
            <v>3370.62086</v>
          </cell>
          <cell r="K128">
            <v>3370.62086</v>
          </cell>
          <cell r="L128">
            <v>3370.62086</v>
          </cell>
          <cell r="W128">
            <v>407819</v>
          </cell>
          <cell r="X128" t="str">
            <v>Armação em aço CA-50 - fornecimento, preparo e colocação</v>
          </cell>
          <cell r="Y128" t="str">
            <v>kg</v>
          </cell>
          <cell r="Z128">
            <v>8.42</v>
          </cell>
          <cell r="AA128">
            <v>0</v>
          </cell>
          <cell r="BC128">
            <v>407819</v>
          </cell>
          <cell r="BD128" t="str">
            <v>Armação em aço CA-50 - fornecimento, preparo e colocação</v>
          </cell>
          <cell r="BE128" t="str">
            <v>kg</v>
          </cell>
          <cell r="BF128">
            <v>8.2200000000000006</v>
          </cell>
          <cell r="BG128">
            <v>0</v>
          </cell>
          <cell r="CC128">
            <v>0</v>
          </cell>
          <cell r="CD128" t="str">
            <v>Pintura de ligação</v>
          </cell>
          <cell r="CE128" t="str">
            <v>m²</v>
          </cell>
          <cell r="CF128">
            <v>1</v>
          </cell>
          <cell r="CG128">
            <v>1</v>
          </cell>
          <cell r="CH128">
            <v>1</v>
          </cell>
          <cell r="CI128">
            <v>4011353</v>
          </cell>
          <cell r="CJ128">
            <v>0.18392808219669335</v>
          </cell>
          <cell r="CK128">
            <v>0.24158953596535671</v>
          </cell>
          <cell r="CL128">
            <v>4011353</v>
          </cell>
          <cell r="CM128">
            <v>0.18912484066666665</v>
          </cell>
          <cell r="CN128">
            <v>0.24841547821566662</v>
          </cell>
          <cell r="DN128" t="str">
            <v>Engenheiro Pleno Orçamentista</v>
          </cell>
          <cell r="DO128">
            <v>9139.17</v>
          </cell>
          <cell r="DP128">
            <v>9823.92</v>
          </cell>
          <cell r="DQ128">
            <v>1.0335248790636142</v>
          </cell>
          <cell r="DR128">
            <v>9445.5595689918118</v>
          </cell>
          <cell r="DS128">
            <v>7963.8196483767251</v>
          </cell>
        </row>
        <row r="129">
          <cell r="B129">
            <v>804425</v>
          </cell>
          <cell r="C129" t="str">
            <v>SICRO</v>
          </cell>
          <cell r="D129" t="str">
            <v>Boca BDTC D = 1,20 m - esconsidade 0° - areia e brita comerciais - alas esconsas</v>
          </cell>
          <cell r="E129" t="str">
            <v>un</v>
          </cell>
          <cell r="F129">
            <v>4546.3177400000004</v>
          </cell>
          <cell r="G129">
            <v>4546.3177400000004</v>
          </cell>
          <cell r="H129">
            <v>4546.3177400000004</v>
          </cell>
          <cell r="I129">
            <v>0</v>
          </cell>
          <cell r="J129">
            <v>4816.8955900000001</v>
          </cell>
          <cell r="K129">
            <v>4816.8955900000001</v>
          </cell>
          <cell r="L129">
            <v>4816.8955900000001</v>
          </cell>
          <cell r="W129">
            <v>3117750</v>
          </cell>
          <cell r="X129" t="str">
            <v xml:space="preserve">Forma metálica para aduelas de bueiros celulares de concreto pré-moldados - utilização de 100 vezes </v>
          </cell>
          <cell r="Y129" t="str">
            <v>m²</v>
          </cell>
          <cell r="Z129">
            <v>12.56</v>
          </cell>
          <cell r="AA129">
            <v>0</v>
          </cell>
          <cell r="BC129">
            <v>3117750</v>
          </cell>
          <cell r="BD129" t="str">
            <v xml:space="preserve">Forma metálica para aduelas de bueiros celulares de concreto pré-moldados - utilização de 100 vezes </v>
          </cell>
          <cell r="BE129" t="str">
            <v>m²</v>
          </cell>
          <cell r="BF129">
            <v>12.2</v>
          </cell>
          <cell r="BG129">
            <v>0</v>
          </cell>
          <cell r="CC129">
            <v>0</v>
          </cell>
          <cell r="CD129" t="str">
            <v>Fornecimento de emulsão RR-1C</v>
          </cell>
          <cell r="CE129" t="str">
            <v>t</v>
          </cell>
          <cell r="CF129" t="str">
            <v>0,00045 t</v>
          </cell>
          <cell r="CG129">
            <v>4.4999999999999999E-4</v>
          </cell>
          <cell r="CH129">
            <v>1</v>
          </cell>
          <cell r="CI129" t="str">
            <v>CPU04</v>
          </cell>
          <cell r="CJ129">
            <v>2511.8507594331254</v>
          </cell>
          <cell r="CK129">
            <v>1.1303328417449063</v>
          </cell>
          <cell r="CL129" t="str">
            <v>CPU04-1</v>
          </cell>
          <cell r="CM129">
            <v>2535.6603093736671</v>
          </cell>
          <cell r="CN129">
            <v>1.1410471392181503</v>
          </cell>
          <cell r="DN129" t="str">
            <v>Engenheiro Sênior em Pavimentação</v>
          </cell>
          <cell r="DO129">
            <v>11790.71</v>
          </cell>
          <cell r="DP129">
            <v>12991.96</v>
          </cell>
          <cell r="DQ129">
            <v>1.0335248790636142</v>
          </cell>
          <cell r="DR129">
            <v>12185.992126824147</v>
          </cell>
          <cell r="DS129">
            <v>10030.379840238089</v>
          </cell>
        </row>
        <row r="130">
          <cell r="B130">
            <v>804433</v>
          </cell>
          <cell r="C130" t="str">
            <v>SICRO</v>
          </cell>
          <cell r="D130" t="str">
            <v>Boca BDTC D = 1,50 m - esconsidade 0° - areia e brita comerciais - alas esconsas</v>
          </cell>
          <cell r="E130" t="str">
            <v>un</v>
          </cell>
          <cell r="F130">
            <v>7865.99388</v>
          </cell>
          <cell r="G130">
            <v>7865.99388</v>
          </cell>
          <cell r="H130">
            <v>7865.99388</v>
          </cell>
          <cell r="I130">
            <v>0</v>
          </cell>
          <cell r="J130">
            <v>8342.0967799999999</v>
          </cell>
          <cell r="K130">
            <v>8342.0967799999999</v>
          </cell>
          <cell r="L130">
            <v>8342.0967799999999</v>
          </cell>
          <cell r="W130">
            <v>408067</v>
          </cell>
          <cell r="X130" t="str">
            <v>Tela de aço eletrosoldada - fornecimento, preparo e colocação</v>
          </cell>
          <cell r="Y130" t="str">
            <v>kg</v>
          </cell>
          <cell r="Z130">
            <v>5.91</v>
          </cell>
          <cell r="AA130">
            <v>0</v>
          </cell>
          <cell r="BC130">
            <v>408067</v>
          </cell>
          <cell r="BD130" t="str">
            <v>Tela de aço eletrosoldada - fornecimento, preparo e colocação</v>
          </cell>
          <cell r="BE130" t="str">
            <v>kg</v>
          </cell>
          <cell r="BF130">
            <v>5.69</v>
          </cell>
          <cell r="BG130">
            <v>0</v>
          </cell>
          <cell r="CC130">
            <v>0</v>
          </cell>
          <cell r="CD130" t="str">
            <v>Pintura de faixa - tinta base acrílica - espessura de 0,6 mm</v>
          </cell>
          <cell r="CE130" t="str">
            <v>m²</v>
          </cell>
          <cell r="CF130" t="str">
            <v>2 faixas cont. + 1 faixa não cont.</v>
          </cell>
          <cell r="CG130">
            <v>4.4871794871794872E-2</v>
          </cell>
          <cell r="CH130">
            <v>1</v>
          </cell>
          <cell r="CI130">
            <v>5213401</v>
          </cell>
          <cell r="CJ130">
            <v>20.390807290896916</v>
          </cell>
          <cell r="CK130">
            <v>1.2018158822830236</v>
          </cell>
          <cell r="CL130">
            <v>5213401</v>
          </cell>
          <cell r="CM130">
            <v>22.71825438768407</v>
          </cell>
          <cell r="CN130">
            <v>1.3389935254330845</v>
          </cell>
          <cell r="DN130" t="str">
            <v>Engenheiro Pleno Ambiental</v>
          </cell>
          <cell r="DO130">
            <v>9139.17</v>
          </cell>
          <cell r="DP130">
            <v>9823.92</v>
          </cell>
          <cell r="DQ130">
            <v>1.0335248790636142</v>
          </cell>
          <cell r="DR130">
            <v>9445.5595689918118</v>
          </cell>
          <cell r="DS130">
            <v>7963.8196483767251</v>
          </cell>
        </row>
        <row r="131">
          <cell r="B131">
            <v>804441</v>
          </cell>
          <cell r="C131" t="str">
            <v>SICRO</v>
          </cell>
          <cell r="D131" t="str">
            <v>Boca BTTC D = 1,00 m - esconsidade 0° - areia e brita comerciais - alas esconsas</v>
          </cell>
          <cell r="E131" t="str">
            <v>un</v>
          </cell>
          <cell r="F131">
            <v>4069.2512999999999</v>
          </cell>
          <cell r="G131">
            <v>4069.2512999999999</v>
          </cell>
          <cell r="H131">
            <v>4069.2512999999999</v>
          </cell>
          <cell r="I131">
            <v>0</v>
          </cell>
          <cell r="J131">
            <v>4309.2129499999992</v>
          </cell>
          <cell r="K131">
            <v>4309.2129499999992</v>
          </cell>
          <cell r="L131">
            <v>4309.2129499999992</v>
          </cell>
          <cell r="W131">
            <v>1107890</v>
          </cell>
          <cell r="X131" t="str">
            <v xml:space="preserve">Concreto fck = 30 MPa - confecção em central dosadora de 30 m³/h - areia e brita comerciais  </v>
          </cell>
          <cell r="Y131" t="str">
            <v>m³</v>
          </cell>
          <cell r="Z131">
            <v>282.82</v>
          </cell>
          <cell r="AA131">
            <v>0</v>
          </cell>
          <cell r="BC131">
            <v>1107890</v>
          </cell>
          <cell r="BD131" t="str">
            <v xml:space="preserve">Concreto fck = 30 MPa - confecção em central dosadora de 30 m³/h - areia e brita comerciais  </v>
          </cell>
          <cell r="BE131" t="str">
            <v>m³</v>
          </cell>
          <cell r="BF131">
            <v>266.22000000000003</v>
          </cell>
          <cell r="BG131">
            <v>0</v>
          </cell>
          <cell r="CC131">
            <v>0</v>
          </cell>
          <cell r="CD131" t="str">
            <v>Tacha refletiva monodirecional - fornecimento e colocação</v>
          </cell>
          <cell r="CE131" t="str">
            <v>un</v>
          </cell>
          <cell r="CF131" t="str">
            <v>3 / 16m / 7,8m largura</v>
          </cell>
          <cell r="CG131">
            <v>2.403846153846154E-2</v>
          </cell>
          <cell r="CH131">
            <v>1</v>
          </cell>
          <cell r="CI131">
            <v>5213359</v>
          </cell>
          <cell r="CJ131">
            <v>12.189996472111552</v>
          </cell>
          <cell r="CK131">
            <v>0.38489327803169532</v>
          </cell>
          <cell r="CL131">
            <v>5213359</v>
          </cell>
          <cell r="CM131">
            <v>14.739324009960159</v>
          </cell>
          <cell r="CN131">
            <v>0.46538706940102564</v>
          </cell>
          <cell r="DN131" t="str">
            <v>Engenheiro Projetista</v>
          </cell>
          <cell r="DO131">
            <v>7177.02</v>
          </cell>
          <cell r="DP131">
            <v>7674.8</v>
          </cell>
          <cell r="DQ131">
            <v>1.0335248790636142</v>
          </cell>
          <cell r="DR131">
            <v>7417.6287275371415</v>
          </cell>
          <cell r="DS131">
            <v>6434.5570008357581</v>
          </cell>
        </row>
        <row r="132">
          <cell r="B132">
            <v>804457</v>
          </cell>
          <cell r="C132" t="str">
            <v>SICRO</v>
          </cell>
          <cell r="D132" t="str">
            <v>Boca BTTC D = 1,50 m - esconsidade 0° - areia e brita comerciais - alas esconsas</v>
          </cell>
          <cell r="E132" t="str">
            <v>un</v>
          </cell>
          <cell r="F132">
            <v>9966.5899600000012</v>
          </cell>
          <cell r="G132">
            <v>9966.5899600000012</v>
          </cell>
          <cell r="H132">
            <v>9966.5899600000012</v>
          </cell>
          <cell r="I132">
            <v>0</v>
          </cell>
          <cell r="J132">
            <v>10571.626959999998</v>
          </cell>
          <cell r="K132">
            <v>10571.626959999998</v>
          </cell>
          <cell r="L132">
            <v>10571.626959999998</v>
          </cell>
          <cell r="W132">
            <v>1107890</v>
          </cell>
          <cell r="X132" t="str">
            <v>Concreto fck = 30 MPa - confecção em central dosadora de 30 m³/h - areia e brita comerciais   - Caminhão betoneira 8 m³</v>
          </cell>
          <cell r="Y132" t="str">
            <v>m³</v>
          </cell>
          <cell r="Z132">
            <v>282.82</v>
          </cell>
          <cell r="AA132">
            <v>0</v>
          </cell>
          <cell r="BC132">
            <v>1107890</v>
          </cell>
          <cell r="BD132" t="str">
            <v>Concreto fck = 30 MPa - confecção em central dosadora de 30 m³/h - areia e brita comerciais   - Caminhão betoneira 8 m³</v>
          </cell>
          <cell r="BE132" t="str">
            <v>m³</v>
          </cell>
          <cell r="BF132">
            <v>266.22000000000003</v>
          </cell>
          <cell r="BG132">
            <v>0</v>
          </cell>
          <cell r="CC132">
            <v>0</v>
          </cell>
          <cell r="CD132" t="str">
            <v>Tacha refletiva metálica com dois pinos - bidirecional - fornecimento e colocação</v>
          </cell>
          <cell r="CE132" t="str">
            <v>un</v>
          </cell>
          <cell r="CF132" t="str">
            <v>não aplicada</v>
          </cell>
          <cell r="CG132">
            <v>0</v>
          </cell>
          <cell r="CH132">
            <v>1</v>
          </cell>
          <cell r="CI132">
            <v>5213395</v>
          </cell>
          <cell r="CJ132">
            <v>32.534966247709477</v>
          </cell>
          <cell r="CK132">
            <v>0</v>
          </cell>
          <cell r="CL132">
            <v>5213395</v>
          </cell>
          <cell r="CM132">
            <v>34.530034902548728</v>
          </cell>
          <cell r="CN132">
            <v>0</v>
          </cell>
          <cell r="DN132" t="str">
            <v>Técnico Projetista</v>
          </cell>
          <cell r="DO132">
            <v>2687.18</v>
          </cell>
          <cell r="DP132">
            <v>2982.88</v>
          </cell>
          <cell r="DQ132">
            <v>1.0335248790636142</v>
          </cell>
          <cell r="DR132">
            <v>2777.2673845221625</v>
          </cell>
          <cell r="DS132">
            <v>2935.2605120681628</v>
          </cell>
        </row>
        <row r="133">
          <cell r="B133">
            <v>804015</v>
          </cell>
          <cell r="C133" t="str">
            <v>SICRO</v>
          </cell>
          <cell r="D133" t="str">
            <v>Corpo de BSTC D = 0,40 m PA2 - areia, brita e pedra de mão comerciais</v>
          </cell>
          <cell r="E133" t="str">
            <v>m</v>
          </cell>
          <cell r="F133">
            <v>178.50321630522089</v>
          </cell>
          <cell r="G133">
            <v>178.50321630522089</v>
          </cell>
          <cell r="H133">
            <v>178.50321630522089</v>
          </cell>
          <cell r="I133">
            <v>0</v>
          </cell>
          <cell r="J133">
            <v>185.29737590361444</v>
          </cell>
          <cell r="K133">
            <v>185.29737590361444</v>
          </cell>
          <cell r="L133">
            <v>185.29737590361444</v>
          </cell>
          <cell r="W133">
            <v>4805755</v>
          </cell>
          <cell r="X133" t="str">
            <v xml:space="preserve">Apiloamento manual </v>
          </cell>
          <cell r="Y133" t="str">
            <v>m³</v>
          </cell>
          <cell r="Z133">
            <v>31.4</v>
          </cell>
          <cell r="AA133">
            <v>0</v>
          </cell>
          <cell r="BC133">
            <v>4805755</v>
          </cell>
          <cell r="BD133" t="str">
            <v xml:space="preserve">Apiloamento manual </v>
          </cell>
          <cell r="BE133" t="str">
            <v>m³</v>
          </cell>
          <cell r="BF133">
            <v>30.5</v>
          </cell>
          <cell r="BG133">
            <v>0</v>
          </cell>
          <cell r="CC133" t="str">
            <v>F4R6</v>
          </cell>
          <cell r="CD133" t="str">
            <v xml:space="preserve"> (4,0cm) FRESAGEM +(6,0cm) CBUQ C/ POLÍMERO</v>
          </cell>
          <cell r="CE133">
            <v>0</v>
          </cell>
          <cell r="CF133">
            <v>0</v>
          </cell>
          <cell r="CG133">
            <v>0</v>
          </cell>
          <cell r="CH133">
            <v>0</v>
          </cell>
          <cell r="CI133">
            <v>0</v>
          </cell>
          <cell r="CJ133">
            <v>0</v>
          </cell>
          <cell r="CK133">
            <v>68.42892280264482</v>
          </cell>
          <cell r="CL133">
            <v>0</v>
          </cell>
          <cell r="CM133">
            <v>0</v>
          </cell>
          <cell r="CN133">
            <v>71.592933673591688</v>
          </cell>
          <cell r="DN133" t="str">
            <v>Gerência de Fiscalização de Obras</v>
          </cell>
          <cell r="DO133">
            <v>0</v>
          </cell>
          <cell r="DP133">
            <v>0</v>
          </cell>
          <cell r="DQ133">
            <v>0</v>
          </cell>
          <cell r="DR133">
            <v>0</v>
          </cell>
          <cell r="DS133">
            <v>0</v>
          </cell>
        </row>
        <row r="134">
          <cell r="B134">
            <v>804023</v>
          </cell>
          <cell r="C134" t="str">
            <v>SICRO</v>
          </cell>
          <cell r="D134" t="str">
            <v>Corpo de BSTC D = 0,60 m PA2 - areia, brita e pedra de mão comerciais</v>
          </cell>
          <cell r="E134" t="str">
            <v>m</v>
          </cell>
          <cell r="F134">
            <v>270.01195261044177</v>
          </cell>
          <cell r="G134">
            <v>270.01195261044177</v>
          </cell>
          <cell r="H134">
            <v>270.01195261044177</v>
          </cell>
          <cell r="I134">
            <v>0</v>
          </cell>
          <cell r="J134">
            <v>312.33004780722888</v>
          </cell>
          <cell r="K134">
            <v>312.33004780722888</v>
          </cell>
          <cell r="L134">
            <v>312.33004780722888</v>
          </cell>
          <cell r="W134">
            <v>4805751</v>
          </cell>
          <cell r="X134" t="str">
            <v xml:space="preserve">Escavação manual em material de 1ª categoria na profundidade de até 2m </v>
          </cell>
          <cell r="Y134" t="str">
            <v>m³</v>
          </cell>
          <cell r="Z134">
            <v>53.84</v>
          </cell>
          <cell r="AA134">
            <v>0</v>
          </cell>
          <cell r="BC134">
            <v>4805751</v>
          </cell>
          <cell r="BD134" t="str">
            <v xml:space="preserve">Escavação manual em material de 1ª categoria na profundidade de até 2m </v>
          </cell>
          <cell r="BE134" t="str">
            <v>m³</v>
          </cell>
          <cell r="BF134">
            <v>52.47</v>
          </cell>
          <cell r="BG134">
            <v>0</v>
          </cell>
          <cell r="CC134" t="str">
            <v>(m²)</v>
          </cell>
          <cell r="CD134" t="str">
            <v>Fresagem descontínua de revestimento betuminoso</v>
          </cell>
          <cell r="CE134" t="str">
            <v>m³</v>
          </cell>
          <cell r="CF134">
            <v>4</v>
          </cell>
          <cell r="CG134">
            <v>0.04</v>
          </cell>
          <cell r="CH134">
            <v>1</v>
          </cell>
          <cell r="CI134">
            <v>4011480</v>
          </cell>
          <cell r="CJ134">
            <v>50.02322121102204</v>
          </cell>
          <cell r="CK134">
            <v>2.6282200424270976</v>
          </cell>
          <cell r="CL134">
            <v>4011480</v>
          </cell>
          <cell r="CM134">
            <v>50.377443150593948</v>
          </cell>
          <cell r="CN134">
            <v>2.6468308631322057</v>
          </cell>
          <cell r="DN134" t="str">
            <v>Gerente de Fiscalização de Obras</v>
          </cell>
          <cell r="DO134">
            <v>21877.7</v>
          </cell>
          <cell r="DP134">
            <v>25544.49</v>
          </cell>
          <cell r="DQ134">
            <v>1.0335248790636142</v>
          </cell>
          <cell r="DR134">
            <v>22611.147246690034</v>
          </cell>
          <cell r="DS134">
            <v>17891.989316128955</v>
          </cell>
        </row>
        <row r="135">
          <cell r="B135">
            <v>804031</v>
          </cell>
          <cell r="C135" t="str">
            <v>SICRO</v>
          </cell>
          <cell r="D135" t="str">
            <v>Corpo de BSTC D = 0,80 m PA2 - areia, brita e pedra de mão comerciais</v>
          </cell>
          <cell r="E135" t="str">
            <v>m</v>
          </cell>
          <cell r="F135">
            <v>411.29659891566268</v>
          </cell>
          <cell r="G135">
            <v>411.29659891566268</v>
          </cell>
          <cell r="H135">
            <v>411.29659891566268</v>
          </cell>
          <cell r="I135">
            <v>0</v>
          </cell>
          <cell r="J135">
            <v>485.8207577108434</v>
          </cell>
          <cell r="K135">
            <v>485.8207577108434</v>
          </cell>
          <cell r="L135">
            <v>485.8207577108434</v>
          </cell>
          <cell r="W135">
            <v>4413996</v>
          </cell>
          <cell r="X135" t="str">
            <v xml:space="preserve">Enleivamento </v>
          </cell>
          <cell r="Y135" t="str">
            <v>m²</v>
          </cell>
          <cell r="Z135">
            <v>9.4700000000000006</v>
          </cell>
          <cell r="AA135">
            <v>0</v>
          </cell>
          <cell r="BC135">
            <v>4413996</v>
          </cell>
          <cell r="BD135" t="str">
            <v xml:space="preserve">Enleivamento </v>
          </cell>
          <cell r="BE135" t="str">
            <v>m²</v>
          </cell>
          <cell r="BF135">
            <v>9.2100000000000009</v>
          </cell>
          <cell r="BG135">
            <v>0</v>
          </cell>
          <cell r="CC135">
            <v>0</v>
          </cell>
          <cell r="CD135" t="str">
            <v>Carga, manobra e descarga de areia, brita, pedra de mão ou solos em caminhão basculante de 10 m³ - carga com carregadeira e descarga livre</v>
          </cell>
          <cell r="CE135" t="str">
            <v>t</v>
          </cell>
          <cell r="CF135" t="str">
            <v>2,4t/m³</v>
          </cell>
          <cell r="CG135">
            <v>9.6000000000000002E-2</v>
          </cell>
          <cell r="CH135">
            <v>1</v>
          </cell>
          <cell r="CI135">
            <v>5915407</v>
          </cell>
          <cell r="CJ135">
            <v>1.6993770350671593</v>
          </cell>
          <cell r="CK135">
            <v>0.21428464661382851</v>
          </cell>
          <cell r="CL135">
            <v>5914352</v>
          </cell>
          <cell r="CM135">
            <v>9.5803793626707137</v>
          </cell>
          <cell r="CN135">
            <v>1.2080475161153263</v>
          </cell>
          <cell r="DN135" t="str">
            <v>Engenheiro de Obras</v>
          </cell>
          <cell r="DO135">
            <v>7648.11</v>
          </cell>
          <cell r="DP135">
            <v>7812.25</v>
          </cell>
          <cell r="DQ135">
            <v>1.0335248790636142</v>
          </cell>
          <cell r="DR135">
            <v>7904.5119628152179</v>
          </cell>
          <cell r="DS135">
            <v>6801.7156485589558</v>
          </cell>
        </row>
        <row r="136">
          <cell r="B136">
            <v>804039</v>
          </cell>
          <cell r="C136" t="str">
            <v>SICRO</v>
          </cell>
          <cell r="D136" t="str">
            <v>Corpo de BSTC D = 1,00 m PA2 - areia, brita e pedra de mão comerciais</v>
          </cell>
          <cell r="E136" t="str">
            <v>m</v>
          </cell>
          <cell r="F136">
            <v>586.57546470437023</v>
          </cell>
          <cell r="G136">
            <v>586.57546470437023</v>
          </cell>
          <cell r="H136">
            <v>586.57546470437023</v>
          </cell>
          <cell r="I136">
            <v>0</v>
          </cell>
          <cell r="J136">
            <v>636.40324909511571</v>
          </cell>
          <cell r="K136">
            <v>636.40324909511571</v>
          </cell>
          <cell r="L136">
            <v>636.40324909511571</v>
          </cell>
          <cell r="W136">
            <v>2003842</v>
          </cell>
          <cell r="X136" t="str">
            <v xml:space="preserve">Enchimento de junta de concreto com argamassa asfáltica de densidade 1.700 kg/m³ - espessura de 1 cm </v>
          </cell>
          <cell r="Y136" t="str">
            <v>kg</v>
          </cell>
          <cell r="Z136">
            <v>54.53</v>
          </cell>
          <cell r="AA136">
            <v>0</v>
          </cell>
          <cell r="BC136">
            <v>2003842</v>
          </cell>
          <cell r="BD136" t="str">
            <v xml:space="preserve">Enchimento de junta de concreto com argamassa asfáltica de densidade 1.700 kg/m³ - espessura de 1 cm </v>
          </cell>
          <cell r="BE136" t="str">
            <v>kg</v>
          </cell>
          <cell r="BF136">
            <v>50.42</v>
          </cell>
          <cell r="BG136">
            <v>0</v>
          </cell>
          <cell r="CC136">
            <v>0</v>
          </cell>
          <cell r="CD136" t="str">
            <v>Transporte com caminhão basculante de 12m³ - rodovia em revestimento primário</v>
          </cell>
          <cell r="CE136" t="str">
            <v>tkm</v>
          </cell>
          <cell r="CF136" t="str">
            <v>DMT = 10km</v>
          </cell>
          <cell r="CG136">
            <v>0.96</v>
          </cell>
          <cell r="CH136">
            <v>1</v>
          </cell>
          <cell r="CI136">
            <v>5914335</v>
          </cell>
          <cell r="CJ136">
            <v>0.49810144567068276</v>
          </cell>
          <cell r="CK136">
            <v>0.62808599893290407</v>
          </cell>
          <cell r="CL136">
            <v>5914335</v>
          </cell>
          <cell r="CM136">
            <v>0.49824066306827308</v>
          </cell>
          <cell r="CN136">
            <v>0.62826154650256949</v>
          </cell>
          <cell r="DN136" t="str">
            <v>Inspetor de Obras</v>
          </cell>
          <cell r="DO136">
            <v>3548.93</v>
          </cell>
          <cell r="DP136">
            <v>3930.95</v>
          </cell>
          <cell r="DQ136">
            <v>1.0335248790636142</v>
          </cell>
          <cell r="DR136">
            <v>3667.9074490552321</v>
          </cell>
          <cell r="DS136">
            <v>3606.8921847325505</v>
          </cell>
        </row>
        <row r="137">
          <cell r="B137">
            <v>804054</v>
          </cell>
          <cell r="C137" t="str">
            <v>SICRO</v>
          </cell>
          <cell r="D137" t="str">
            <v>Corpo de BSTC D = 1,50 m PA2 - areia, brita e pedra de mão comerciais</v>
          </cell>
          <cell r="E137" t="str">
            <v>m</v>
          </cell>
          <cell r="F137">
            <v>925.67712225169714</v>
          </cell>
          <cell r="G137">
            <v>925.67712225169714</v>
          </cell>
          <cell r="H137">
            <v>925.67712225169714</v>
          </cell>
          <cell r="I137">
            <v>0</v>
          </cell>
          <cell r="J137">
            <v>982.48475006657964</v>
          </cell>
          <cell r="K137">
            <v>982.48475006657964</v>
          </cell>
          <cell r="L137">
            <v>982.48475006657964</v>
          </cell>
          <cell r="W137">
            <v>3108022</v>
          </cell>
          <cell r="X137" t="str">
            <v>Guia de madeira de 2,5 x 8,0 cm - confecção e instalação</v>
          </cell>
          <cell r="Y137" t="str">
            <v>m</v>
          </cell>
          <cell r="Z137">
            <v>2.76</v>
          </cell>
          <cell r="AA137">
            <v>0</v>
          </cell>
          <cell r="BC137">
            <v>3108022</v>
          </cell>
          <cell r="BD137" t="str">
            <v>Guia de madeira de 2,5 x 8,0 cm - confecção e instalação</v>
          </cell>
          <cell r="BE137" t="str">
            <v>m</v>
          </cell>
          <cell r="BF137">
            <v>2.73</v>
          </cell>
          <cell r="BG137">
            <v>0</v>
          </cell>
          <cell r="CC137">
            <v>0</v>
          </cell>
          <cell r="CD137" t="str">
            <v>Concreto asfáltico com asfalto polímero - faixa C - areia e brita comerciais</v>
          </cell>
          <cell r="CE137" t="str">
            <v>t</v>
          </cell>
          <cell r="CF137">
            <v>6</v>
          </cell>
          <cell r="CG137">
            <v>0.14399999999999999</v>
          </cell>
          <cell r="CH137">
            <v>1</v>
          </cell>
          <cell r="CI137">
            <v>4011466</v>
          </cell>
          <cell r="CJ137">
            <v>130.81939260452867</v>
          </cell>
          <cell r="CK137">
            <v>24.743703194790967</v>
          </cell>
          <cell r="CL137">
            <v>4011466</v>
          </cell>
          <cell r="CM137">
            <v>135.10461380032868</v>
          </cell>
          <cell r="CN137">
            <v>25.554227072649365</v>
          </cell>
          <cell r="DN137" t="str">
            <v>Engenheiro de Controle</v>
          </cell>
          <cell r="DO137">
            <v>7648.11</v>
          </cell>
          <cell r="DP137">
            <v>7812.25</v>
          </cell>
          <cell r="DQ137">
            <v>1.0335248790636142</v>
          </cell>
          <cell r="DR137">
            <v>7904.5119628152179</v>
          </cell>
          <cell r="DS137">
            <v>6801.7156485589558</v>
          </cell>
        </row>
        <row r="138">
          <cell r="B138">
            <v>804191</v>
          </cell>
          <cell r="C138" t="str">
            <v>SICRO</v>
          </cell>
          <cell r="D138" t="str">
            <v>Corpo de BDTC D = 1,00 m PA2 - areia, brita e pedra de mão comerciais</v>
          </cell>
          <cell r="E138" t="str">
            <v>m</v>
          </cell>
          <cell r="F138">
            <v>1129.3507294087403</v>
          </cell>
          <cell r="G138">
            <v>1129.3507294087403</v>
          </cell>
          <cell r="H138">
            <v>1129.3507294087403</v>
          </cell>
          <cell r="I138">
            <v>0</v>
          </cell>
          <cell r="J138">
            <v>1227.0250981902313</v>
          </cell>
          <cell r="K138">
            <v>1227.0250981902313</v>
          </cell>
          <cell r="L138">
            <v>1227.0250981902313</v>
          </cell>
          <cell r="W138" t="str">
            <v>M0191</v>
          </cell>
          <cell r="X138" t="str">
            <v>Brita 1</v>
          </cell>
          <cell r="Y138" t="str">
            <v>m³</v>
          </cell>
          <cell r="Z138">
            <v>85.033299999999997</v>
          </cell>
          <cell r="AA138">
            <v>0</v>
          </cell>
          <cell r="BC138" t="str">
            <v>M0191</v>
          </cell>
          <cell r="BD138" t="str">
            <v>Brita 1</v>
          </cell>
          <cell r="BE138" t="str">
            <v>m³</v>
          </cell>
          <cell r="BF138">
            <v>70.421300000000002</v>
          </cell>
          <cell r="BG138">
            <v>0</v>
          </cell>
          <cell r="CC138">
            <v>0</v>
          </cell>
          <cell r="CD138" t="str">
            <v>Fornecimento de Material Betuminoso c/ polímero SBS</v>
          </cell>
          <cell r="CE138" t="str">
            <v>t</v>
          </cell>
          <cell r="CF138" t="str">
            <v>0,057732 t</v>
          </cell>
          <cell r="CG138">
            <v>8.3134079999999996E-3</v>
          </cell>
          <cell r="CH138">
            <v>1</v>
          </cell>
          <cell r="CI138" t="str">
            <v>CPU10</v>
          </cell>
          <cell r="CJ138">
            <v>4481.4349761078774</v>
          </cell>
          <cell r="CK138">
            <v>37.255997381855032</v>
          </cell>
          <cell r="CL138" t="str">
            <v>CPU10-1</v>
          </cell>
          <cell r="CM138">
            <v>4614.4401264709131</v>
          </cell>
          <cell r="CN138">
            <v>38.361723462924296</v>
          </cell>
          <cell r="DN138" t="str">
            <v>Assistente Técnico de Controle e Qualidade</v>
          </cell>
          <cell r="DO138">
            <v>2380.12</v>
          </cell>
          <cell r="DP138">
            <v>2722.59</v>
          </cell>
          <cell r="DQ138">
            <v>1.0335248790636142</v>
          </cell>
          <cell r="DR138">
            <v>2459.9132351568892</v>
          </cell>
          <cell r="DS138">
            <v>2695.9437480318102</v>
          </cell>
        </row>
        <row r="139">
          <cell r="B139">
            <v>804199</v>
          </cell>
          <cell r="C139" t="str">
            <v>SICRO</v>
          </cell>
          <cell r="D139" t="str">
            <v>Corpo de BDTC D = 1,20 m PA2 - areia, brita e pedra de mão comerciais</v>
          </cell>
          <cell r="E139" t="str">
            <v>m</v>
          </cell>
          <cell r="F139">
            <v>1393.6955730522088</v>
          </cell>
          <cell r="G139">
            <v>1393.6955730522088</v>
          </cell>
          <cell r="H139">
            <v>1393.6955730522088</v>
          </cell>
          <cell r="I139">
            <v>0</v>
          </cell>
          <cell r="J139">
            <v>1389.7868410361446</v>
          </cell>
          <cell r="K139">
            <v>1389.7868410361446</v>
          </cell>
          <cell r="L139">
            <v>1389.7868410361446</v>
          </cell>
          <cell r="W139" t="str">
            <v>M0192</v>
          </cell>
          <cell r="X139" t="str">
            <v>Brita 2</v>
          </cell>
          <cell r="Y139" t="str">
            <v>m³</v>
          </cell>
          <cell r="Z139">
            <v>84.1233</v>
          </cell>
          <cell r="AA139">
            <v>0</v>
          </cell>
          <cell r="BC139" t="str">
            <v>M0192</v>
          </cell>
          <cell r="BD139" t="str">
            <v>Brita 2</v>
          </cell>
          <cell r="BE139" t="str">
            <v>m³</v>
          </cell>
          <cell r="BF139">
            <v>65.651300000000006</v>
          </cell>
          <cell r="BG139">
            <v>0</v>
          </cell>
          <cell r="CC139">
            <v>0</v>
          </cell>
          <cell r="CD139" t="str">
            <v>Pintura de ligação</v>
          </cell>
          <cell r="CE139" t="str">
            <v>m²</v>
          </cell>
          <cell r="CF139">
            <v>1</v>
          </cell>
          <cell r="CG139">
            <v>1</v>
          </cell>
          <cell r="CH139">
            <v>1</v>
          </cell>
          <cell r="CI139">
            <v>4011353</v>
          </cell>
          <cell r="CJ139">
            <v>0.18392808219669335</v>
          </cell>
          <cell r="CK139">
            <v>0.24158953596535671</v>
          </cell>
          <cell r="CL139">
            <v>4011353</v>
          </cell>
          <cell r="CM139">
            <v>0.18912484066666665</v>
          </cell>
          <cell r="CN139">
            <v>0.24841547821566662</v>
          </cell>
          <cell r="DN139" t="str">
            <v>Topógrafo</v>
          </cell>
          <cell r="DO139">
            <v>3710.97</v>
          </cell>
          <cell r="DP139">
            <v>4323.6899999999996</v>
          </cell>
          <cell r="DQ139">
            <v>1.0335248790636142</v>
          </cell>
          <cell r="DR139">
            <v>3835.3798204587001</v>
          </cell>
          <cell r="DS139">
            <v>3733.1831000079055</v>
          </cell>
        </row>
        <row r="140">
          <cell r="B140">
            <v>804207</v>
          </cell>
          <cell r="C140" t="str">
            <v>SICRO</v>
          </cell>
          <cell r="D140" t="str">
            <v>Corpo de BDTC D = 1,50 m PA2 - areia, brita e pedra de mão comerciais</v>
          </cell>
          <cell r="E140" t="str">
            <v>m</v>
          </cell>
          <cell r="F140">
            <v>1887.2187117536535</v>
          </cell>
          <cell r="G140">
            <v>1887.2187117536535</v>
          </cell>
          <cell r="H140">
            <v>1887.2187117536535</v>
          </cell>
          <cell r="I140">
            <v>0</v>
          </cell>
          <cell r="J140">
            <v>2024.6485692233819</v>
          </cell>
          <cell r="K140">
            <v>2024.6485692233819</v>
          </cell>
          <cell r="L140">
            <v>2024.6485692233819</v>
          </cell>
          <cell r="W140" t="str">
            <v>M2051</v>
          </cell>
          <cell r="X140" t="str">
            <v>Geotêxtil não-tecido agulhado RT 14</v>
          </cell>
          <cell r="Y140" t="str">
            <v>m²</v>
          </cell>
          <cell r="Z140">
            <v>6.7603999999999997</v>
          </cell>
          <cell r="AA140">
            <v>0</v>
          </cell>
          <cell r="BC140" t="str">
            <v>M2051</v>
          </cell>
          <cell r="BD140" t="str">
            <v>Geotêxtil não-tecido agulhado RT 14</v>
          </cell>
          <cell r="BE140" t="str">
            <v>m²</v>
          </cell>
          <cell r="BF140">
            <v>6.2329999999999997</v>
          </cell>
          <cell r="BG140">
            <v>0</v>
          </cell>
          <cell r="CC140">
            <v>0</v>
          </cell>
          <cell r="CD140" t="str">
            <v>Fornecimento de emulsão RR-1C</v>
          </cell>
          <cell r="CE140" t="str">
            <v>t</v>
          </cell>
          <cell r="CF140" t="str">
            <v>0,00045 t</v>
          </cell>
          <cell r="CG140">
            <v>4.4999999999999999E-4</v>
          </cell>
          <cell r="CH140">
            <v>1</v>
          </cell>
          <cell r="CI140" t="str">
            <v>CPU04</v>
          </cell>
          <cell r="CJ140">
            <v>2511.8507594331254</v>
          </cell>
          <cell r="CK140">
            <v>1.1303328417449063</v>
          </cell>
          <cell r="CL140" t="str">
            <v>CPU04-1</v>
          </cell>
          <cell r="CM140">
            <v>2535.6603093736671</v>
          </cell>
          <cell r="CN140">
            <v>1.1410471392181503</v>
          </cell>
          <cell r="DN140" t="str">
            <v>Auxiliar de Topógrafo</v>
          </cell>
          <cell r="DO140">
            <v>1586.56</v>
          </cell>
          <cell r="DP140">
            <v>1848.09</v>
          </cell>
          <cell r="DQ140">
            <v>1.0335248790636142</v>
          </cell>
          <cell r="DR140">
            <v>1639.7492321271677</v>
          </cell>
          <cell r="DS140">
            <v>2077.4580733470971</v>
          </cell>
        </row>
        <row r="141">
          <cell r="B141">
            <v>804295</v>
          </cell>
          <cell r="C141" t="str">
            <v>SICRO</v>
          </cell>
          <cell r="D141" t="str">
            <v>Corpo de BTTC D = 1,00 m PA2 - areia, brita e pedra de mão comerciais</v>
          </cell>
          <cell r="E141" t="str">
            <v>m</v>
          </cell>
          <cell r="F141">
            <v>1672.2054092864032</v>
          </cell>
          <cell r="G141">
            <v>1672.2054092864032</v>
          </cell>
          <cell r="H141">
            <v>1672.2054092864032</v>
          </cell>
          <cell r="I141">
            <v>0</v>
          </cell>
          <cell r="J141">
            <v>1817.7295679864994</v>
          </cell>
          <cell r="K141">
            <v>1817.7295679864994</v>
          </cell>
          <cell r="L141">
            <v>1817.7295679864994</v>
          </cell>
          <cell r="W141">
            <v>4805757</v>
          </cell>
          <cell r="X141" t="str">
            <v xml:space="preserve">Escavação mecânica de vala em material de 1ª categoria </v>
          </cell>
          <cell r="Y141" t="str">
            <v>m³</v>
          </cell>
          <cell r="Z141">
            <v>6.14</v>
          </cell>
          <cell r="AA141">
            <v>0</v>
          </cell>
          <cell r="BC141">
            <v>4805757</v>
          </cell>
          <cell r="BD141" t="str">
            <v xml:space="preserve">Escavação mecânica de vala em material de 1ª categoria </v>
          </cell>
          <cell r="BE141" t="str">
            <v>m³</v>
          </cell>
          <cell r="BF141">
            <v>6.02</v>
          </cell>
          <cell r="BG141">
            <v>0</v>
          </cell>
          <cell r="CC141">
            <v>0</v>
          </cell>
          <cell r="CD141" t="str">
            <v>Pintura de faixa - tinta base acrílica - espessura de 0,6 mm</v>
          </cell>
          <cell r="CE141" t="str">
            <v>m²</v>
          </cell>
          <cell r="CF141" t="str">
            <v>2 faixas cont. + 1 faixa não cont.</v>
          </cell>
          <cell r="CG141">
            <v>4.4871794871794872E-2</v>
          </cell>
          <cell r="CH141">
            <v>1</v>
          </cell>
          <cell r="CI141">
            <v>5213401</v>
          </cell>
          <cell r="CJ141">
            <v>20.390807290896916</v>
          </cell>
          <cell r="CK141">
            <v>1.2018158822830236</v>
          </cell>
          <cell r="CL141">
            <v>5213401</v>
          </cell>
          <cell r="CM141">
            <v>22.71825438768407</v>
          </cell>
          <cell r="CN141">
            <v>1.3389935254330845</v>
          </cell>
          <cell r="DN141" t="str">
            <v>Engenheiro de Pavimento</v>
          </cell>
          <cell r="DO141">
            <v>7648.11</v>
          </cell>
          <cell r="DP141">
            <v>7812.25</v>
          </cell>
          <cell r="DQ141">
            <v>1.0335248790636142</v>
          </cell>
          <cell r="DR141">
            <v>7904.5119628152179</v>
          </cell>
          <cell r="DS141">
            <v>6801.7156485589558</v>
          </cell>
        </row>
        <row r="142">
          <cell r="B142">
            <v>804311</v>
          </cell>
          <cell r="C142" t="str">
            <v>SICRO</v>
          </cell>
          <cell r="D142" t="str">
            <v>Corpo de BTTC D = 1,50 m PA2 - areia, brita e pedra de mão comerciais</v>
          </cell>
          <cell r="E142" t="str">
            <v>m</v>
          </cell>
          <cell r="F142">
            <v>2807.7964430407519</v>
          </cell>
          <cell r="G142">
            <v>2807.7964430407519</v>
          </cell>
          <cell r="H142">
            <v>2807.7964430407519</v>
          </cell>
          <cell r="I142">
            <v>0</v>
          </cell>
          <cell r="J142">
            <v>3013.0727423636363</v>
          </cell>
          <cell r="K142">
            <v>3013.0727423636363</v>
          </cell>
          <cell r="L142">
            <v>3013.0727423636363</v>
          </cell>
          <cell r="W142">
            <v>4816119</v>
          </cell>
          <cell r="X142" t="str">
            <v xml:space="preserve">Selo de argila apiloado (solo local) </v>
          </cell>
          <cell r="Y142" t="str">
            <v>m³</v>
          </cell>
          <cell r="Z142">
            <v>35.770000000000003</v>
          </cell>
          <cell r="AA142">
            <v>0</v>
          </cell>
          <cell r="BC142">
            <v>4816119</v>
          </cell>
          <cell r="BD142" t="str">
            <v xml:space="preserve">Selo de argila apiloado (solo local) </v>
          </cell>
          <cell r="BE142" t="str">
            <v>m³</v>
          </cell>
          <cell r="BF142">
            <v>34.74</v>
          </cell>
          <cell r="BG142">
            <v>0</v>
          </cell>
          <cell r="CC142">
            <v>0</v>
          </cell>
          <cell r="CD142" t="str">
            <v>Tacha refletiva monodirecional - fornecimento e colocação</v>
          </cell>
          <cell r="CE142" t="str">
            <v>un</v>
          </cell>
          <cell r="CF142" t="str">
            <v>3 / 16m / 7,8m largura</v>
          </cell>
          <cell r="CG142">
            <v>2.403846153846154E-2</v>
          </cell>
          <cell r="CH142">
            <v>1</v>
          </cell>
          <cell r="CI142">
            <v>5213359</v>
          </cell>
          <cell r="CJ142">
            <v>12.189996472111552</v>
          </cell>
          <cell r="CK142">
            <v>0.38489327803169532</v>
          </cell>
          <cell r="CL142">
            <v>5213359</v>
          </cell>
          <cell r="CM142">
            <v>14.739324009960159</v>
          </cell>
          <cell r="CN142">
            <v>0.46538706940102564</v>
          </cell>
          <cell r="DN142" t="str">
            <v>Inspetor de Pavimento</v>
          </cell>
          <cell r="DO142">
            <v>3548.93</v>
          </cell>
          <cell r="DP142">
            <v>3930.95</v>
          </cell>
          <cell r="DQ142">
            <v>1.0335248790636142</v>
          </cell>
          <cell r="DR142">
            <v>3667.9074490552321</v>
          </cell>
          <cell r="DS142">
            <v>3606.8921847325505</v>
          </cell>
        </row>
        <row r="143">
          <cell r="B143">
            <v>1109680</v>
          </cell>
          <cell r="C143" t="str">
            <v>SICRO</v>
          </cell>
          <cell r="D143" t="str">
            <v>Argamassa para reparos e grouteamento</v>
          </cell>
          <cell r="E143" t="str">
            <v>m³</v>
          </cell>
          <cell r="F143">
            <v>2468.1367169491527</v>
          </cell>
          <cell r="G143">
            <v>2468.1367169491527</v>
          </cell>
          <cell r="H143">
            <v>2468.1367169491527</v>
          </cell>
          <cell r="I143">
            <v>0</v>
          </cell>
          <cell r="J143">
            <v>2498.3078559322034</v>
          </cell>
          <cell r="K143">
            <v>2498.3078559322034</v>
          </cell>
          <cell r="L143">
            <v>2498.3078559322034</v>
          </cell>
          <cell r="W143" t="str">
            <v>M0191</v>
          </cell>
          <cell r="X143" t="str">
            <v>Brita 1 - Caminhão basculante 10 m³</v>
          </cell>
          <cell r="Y143" t="str">
            <v>m³</v>
          </cell>
          <cell r="Z143">
            <v>85.033299999999997</v>
          </cell>
          <cell r="AA143">
            <v>0</v>
          </cell>
          <cell r="BC143" t="str">
            <v>M0191</v>
          </cell>
          <cell r="BD143" t="str">
            <v>Brita 1 - Caminhão basculante 10 m³</v>
          </cell>
          <cell r="BE143" t="str">
            <v>m³</v>
          </cell>
          <cell r="BF143">
            <v>70.421300000000002</v>
          </cell>
          <cell r="BG143">
            <v>0</v>
          </cell>
          <cell r="CC143">
            <v>0</v>
          </cell>
          <cell r="CD143" t="str">
            <v>Tacha refletiva metálica com dois pinos - bidirecional - fornecimento e colocação</v>
          </cell>
          <cell r="CE143" t="str">
            <v>un</v>
          </cell>
          <cell r="CF143" t="str">
            <v>não aplicada</v>
          </cell>
          <cell r="CG143">
            <v>0</v>
          </cell>
          <cell r="CH143">
            <v>1</v>
          </cell>
          <cell r="CI143">
            <v>5213395</v>
          </cell>
          <cell r="CJ143">
            <v>32.534966247709477</v>
          </cell>
          <cell r="CK143">
            <v>0</v>
          </cell>
          <cell r="CL143">
            <v>5213395</v>
          </cell>
          <cell r="CM143">
            <v>34.530034902548728</v>
          </cell>
          <cell r="CN143">
            <v>0</v>
          </cell>
          <cell r="DN143" t="str">
            <v>Coordenador de CCO/Operações</v>
          </cell>
          <cell r="DO143">
            <v>9007.75</v>
          </cell>
          <cell r="DP143">
            <v>10177.91</v>
          </cell>
          <cell r="DQ143">
            <v>1.0335248790636142</v>
          </cell>
          <cell r="DR143">
            <v>9309.7337293852706</v>
          </cell>
          <cell r="DS143">
            <v>7861.3933827294322</v>
          </cell>
        </row>
        <row r="144">
          <cell r="B144">
            <v>1107892</v>
          </cell>
          <cell r="C144" t="str">
            <v>SICRO</v>
          </cell>
          <cell r="D144" t="str">
            <v>Concreto fck = 20 MPa - confecção em betoneira e lançamento manual - areia e brita comerciais</v>
          </cell>
          <cell r="E144" t="str">
            <v>m³</v>
          </cell>
          <cell r="F144">
            <v>304.66242650839894</v>
          </cell>
          <cell r="G144">
            <v>304.66242650839894</v>
          </cell>
          <cell r="H144">
            <v>304.66242650839894</v>
          </cell>
          <cell r="I144">
            <v>0</v>
          </cell>
          <cell r="J144">
            <v>325.30895537601873</v>
          </cell>
          <cell r="K144">
            <v>325.30895537601873</v>
          </cell>
          <cell r="L144">
            <v>325.30895537601873</v>
          </cell>
          <cell r="W144" t="str">
            <v>M0192</v>
          </cell>
          <cell r="X144" t="str">
            <v>Brita 2 - Caminhão basculante 10 m³</v>
          </cell>
          <cell r="Y144" t="str">
            <v>m³</v>
          </cell>
          <cell r="Z144">
            <v>84.1233</v>
          </cell>
          <cell r="AA144">
            <v>0</v>
          </cell>
          <cell r="BC144" t="str">
            <v>M0192</v>
          </cell>
          <cell r="BD144" t="str">
            <v>Brita 2 - Caminhão basculante 10 m³</v>
          </cell>
          <cell r="BE144" t="str">
            <v>m³</v>
          </cell>
          <cell r="BF144">
            <v>65.651300000000006</v>
          </cell>
          <cell r="BG144">
            <v>0</v>
          </cell>
          <cell r="CC144" t="str">
            <v>F4R7</v>
          </cell>
          <cell r="CD144" t="str">
            <v xml:space="preserve"> (4,0cm) FRESAGEM +(7,0cm) CBUQ C/ POLÍMERO</v>
          </cell>
          <cell r="CE144">
            <v>0</v>
          </cell>
          <cell r="CF144">
            <v>0</v>
          </cell>
          <cell r="CG144">
            <v>0</v>
          </cell>
          <cell r="CH144">
            <v>0</v>
          </cell>
          <cell r="CI144">
            <v>0</v>
          </cell>
          <cell r="CJ144">
            <v>0</v>
          </cell>
          <cell r="CK144">
            <v>80.134128609796093</v>
          </cell>
          <cell r="CL144">
            <v>0</v>
          </cell>
          <cell r="CM144">
            <v>0</v>
          </cell>
          <cell r="CN144">
            <v>83.63505471362113</v>
          </cell>
          <cell r="DN144" t="str">
            <v>Operador de CCO</v>
          </cell>
          <cell r="DO144">
            <v>2025.14</v>
          </cell>
          <cell r="DP144">
            <v>2285.77</v>
          </cell>
          <cell r="DQ144">
            <v>1.0335248790636142</v>
          </cell>
          <cell r="DR144">
            <v>2093.0325735868878</v>
          </cell>
          <cell r="DS144">
            <v>2419.2790411418719</v>
          </cell>
        </row>
        <row r="145">
          <cell r="B145">
            <v>1107896</v>
          </cell>
          <cell r="C145" t="str">
            <v>SICRO</v>
          </cell>
          <cell r="D145" t="str">
            <v>Concreto fck = 25 MPa - confecção em betoneira e lançamento manual - areia e brita comerciais</v>
          </cell>
          <cell r="E145" t="str">
            <v>m³</v>
          </cell>
          <cell r="F145">
            <v>324.0613857177359</v>
          </cell>
          <cell r="G145">
            <v>324.0613857177359</v>
          </cell>
          <cell r="H145">
            <v>324.0613857177359</v>
          </cell>
          <cell r="I145">
            <v>0</v>
          </cell>
          <cell r="J145">
            <v>344.99190291751052</v>
          </cell>
          <cell r="K145">
            <v>344.99190291751052</v>
          </cell>
          <cell r="L145">
            <v>344.99190291751052</v>
          </cell>
          <cell r="W145" t="str">
            <v>M2051</v>
          </cell>
          <cell r="X145" t="str">
            <v>Geotêxtil não-tecido agulhado RT 14 - Caminhão carroceria 15 t</v>
          </cell>
          <cell r="Y145" t="str">
            <v>m²</v>
          </cell>
          <cell r="Z145">
            <v>6.7603999999999997</v>
          </cell>
          <cell r="AA145">
            <v>0</v>
          </cell>
          <cell r="BC145" t="str">
            <v>M2051</v>
          </cell>
          <cell r="BD145" t="str">
            <v>Geotêxtil não-tecido agulhado RT 14 - Caminhão carroceria 15 t</v>
          </cell>
          <cell r="BE145" t="str">
            <v>m²</v>
          </cell>
          <cell r="BF145">
            <v>6.2329999999999997</v>
          </cell>
          <cell r="BG145">
            <v>0</v>
          </cell>
          <cell r="CC145" t="str">
            <v>(m²)</v>
          </cell>
          <cell r="CD145" t="str">
            <v>Fresagem descontínua de revestimento betuminoso</v>
          </cell>
          <cell r="CE145" t="str">
            <v>m³</v>
          </cell>
          <cell r="CF145">
            <v>4</v>
          </cell>
          <cell r="CG145">
            <v>0.04</v>
          </cell>
          <cell r="CH145">
            <v>1</v>
          </cell>
          <cell r="CI145">
            <v>4011480</v>
          </cell>
          <cell r="CJ145">
            <v>50.02322121102204</v>
          </cell>
          <cell r="CK145">
            <v>2.6282200424270976</v>
          </cell>
          <cell r="CL145">
            <v>4011480</v>
          </cell>
          <cell r="CM145">
            <v>50.377443150593948</v>
          </cell>
          <cell r="CN145">
            <v>2.6468308631322057</v>
          </cell>
          <cell r="DN145" t="str">
            <v>Tráfego</v>
          </cell>
          <cell r="DO145">
            <v>0</v>
          </cell>
          <cell r="DP145">
            <v>0</v>
          </cell>
          <cell r="DQ145">
            <v>0</v>
          </cell>
          <cell r="DR145">
            <v>0</v>
          </cell>
          <cell r="DS145">
            <v>0</v>
          </cell>
        </row>
        <row r="146">
          <cell r="B146">
            <v>1106057</v>
          </cell>
          <cell r="C146" t="str">
            <v>SICRO</v>
          </cell>
          <cell r="D146" t="str">
            <v>Concreto magro - confecção em betoneira e lançamento manual - areia e brita comerciais</v>
          </cell>
          <cell r="E146" t="str">
            <v>m³</v>
          </cell>
          <cell r="F146">
            <v>268.81283818232043</v>
          </cell>
          <cell r="G146">
            <v>268.81283818232043</v>
          </cell>
          <cell r="H146">
            <v>268.81283818232043</v>
          </cell>
          <cell r="I146">
            <v>0</v>
          </cell>
          <cell r="J146">
            <v>290.8935490773481</v>
          </cell>
          <cell r="K146">
            <v>290.8935490773481</v>
          </cell>
          <cell r="L146">
            <v>290.8935490773481</v>
          </cell>
          <cell r="W146">
            <v>3108023</v>
          </cell>
          <cell r="X146" t="str">
            <v>Guia de madeira de 2,5 x 10,0 cm - confecção e instalação</v>
          </cell>
          <cell r="Y146" t="str">
            <v>m</v>
          </cell>
          <cell r="Z146">
            <v>3.32</v>
          </cell>
          <cell r="AA146">
            <v>0</v>
          </cell>
          <cell r="BC146">
            <v>3108023</v>
          </cell>
          <cell r="BD146" t="str">
            <v>Guia de madeira de 2,5 x 10,0 cm - confecção e instalação</v>
          </cell>
          <cell r="BE146" t="str">
            <v>m</v>
          </cell>
          <cell r="BF146">
            <v>3.3</v>
          </cell>
          <cell r="BG146">
            <v>0</v>
          </cell>
          <cell r="CC146">
            <v>0</v>
          </cell>
          <cell r="CD146" t="str">
            <v>Carga, manobra e descarga de areia, brita, pedra de mão ou solos em caminhão basculante de 10 m³ - carga com carregadeira e descarga livre</v>
          </cell>
          <cell r="CE146" t="str">
            <v>t</v>
          </cell>
          <cell r="CF146" t="str">
            <v>2,4t/m³</v>
          </cell>
          <cell r="CG146">
            <v>9.6000000000000002E-2</v>
          </cell>
          <cell r="CH146">
            <v>1</v>
          </cell>
          <cell r="CI146">
            <v>5915407</v>
          </cell>
          <cell r="CJ146">
            <v>1.6993770350671593</v>
          </cell>
          <cell r="CK146">
            <v>0.21428464661382851</v>
          </cell>
          <cell r="CL146">
            <v>5914352</v>
          </cell>
          <cell r="CM146">
            <v>9.5803793626707137</v>
          </cell>
          <cell r="CN146">
            <v>1.2080475161153263</v>
          </cell>
          <cell r="DN146" t="str">
            <v>Supervisor de Tráfego</v>
          </cell>
          <cell r="DO146">
            <v>4097.43</v>
          </cell>
          <cell r="DP146">
            <v>4634.38</v>
          </cell>
          <cell r="DQ146">
            <v>1.0335248790636142</v>
          </cell>
          <cell r="DR146">
            <v>4234.7958452216253</v>
          </cell>
          <cell r="DS146">
            <v>4034.3827242816278</v>
          </cell>
        </row>
        <row r="147">
          <cell r="B147">
            <v>1106088</v>
          </cell>
          <cell r="C147" t="str">
            <v>SICRO</v>
          </cell>
          <cell r="D147" t="str">
            <v>Lançamento mecânico de concreto com bomba rebocável com capacidade de 30 m³/h</v>
          </cell>
          <cell r="E147" t="str">
            <v>m³</v>
          </cell>
          <cell r="F147">
            <v>10.883088353413655</v>
          </cell>
          <cell r="G147">
            <v>10.883088353413655</v>
          </cell>
          <cell r="H147">
            <v>10.883088353413655</v>
          </cell>
          <cell r="I147">
            <v>0</v>
          </cell>
          <cell r="J147">
            <v>11.43261044176707</v>
          </cell>
          <cell r="K147">
            <v>11.43261044176707</v>
          </cell>
          <cell r="L147">
            <v>11.43261044176707</v>
          </cell>
          <cell r="W147">
            <v>407820</v>
          </cell>
          <cell r="X147" t="str">
            <v>Armação em aço CA-60 - fornecimento, preparo e colocação</v>
          </cell>
          <cell r="Y147" t="str">
            <v>kg</v>
          </cell>
          <cell r="Z147">
            <v>8.58</v>
          </cell>
          <cell r="AA147">
            <v>0</v>
          </cell>
          <cell r="BC147">
            <v>407820</v>
          </cell>
          <cell r="BD147" t="str">
            <v>Armação em aço CA-60 - fornecimento, preparo e colocação</v>
          </cell>
          <cell r="BE147" t="str">
            <v>kg</v>
          </cell>
          <cell r="BF147">
            <v>8.26</v>
          </cell>
          <cell r="BG147">
            <v>0</v>
          </cell>
          <cell r="CC147">
            <v>0</v>
          </cell>
          <cell r="CD147" t="str">
            <v>Transporte com caminhão basculante de 12m³ - rodovia em revestimento primário</v>
          </cell>
          <cell r="CE147" t="str">
            <v>tkm</v>
          </cell>
          <cell r="CF147" t="str">
            <v>DMT = 10km</v>
          </cell>
          <cell r="CG147">
            <v>0.96</v>
          </cell>
          <cell r="CH147">
            <v>1</v>
          </cell>
          <cell r="CI147">
            <v>5914335</v>
          </cell>
          <cell r="CJ147">
            <v>0.49810144567068276</v>
          </cell>
          <cell r="CK147">
            <v>0.62808599893290407</v>
          </cell>
          <cell r="CL147">
            <v>5914335</v>
          </cell>
          <cell r="CM147">
            <v>0.49824066306827308</v>
          </cell>
          <cell r="CN147">
            <v>0.62826154650256949</v>
          </cell>
          <cell r="DN147" t="str">
            <v>Inspetor de Tráfego</v>
          </cell>
          <cell r="DO147">
            <v>1452.63</v>
          </cell>
          <cell r="DP147">
            <v>1645.35</v>
          </cell>
          <cell r="DQ147">
            <v>1.0335248790636142</v>
          </cell>
          <cell r="DR147">
            <v>1501.3292450741781</v>
          </cell>
          <cell r="DS147">
            <v>1973.0755611104375</v>
          </cell>
        </row>
        <row r="148">
          <cell r="B148">
            <v>1106280</v>
          </cell>
          <cell r="C148" t="str">
            <v>SICRO</v>
          </cell>
          <cell r="D148" t="str">
            <v>Concreto para bombeamento fck = 30 MPa - confecção em central dosadora de 30 m³/h - areia e brita comerciais</v>
          </cell>
          <cell r="E148" t="str">
            <v>m³</v>
          </cell>
          <cell r="F148">
            <v>275.26201853731732</v>
          </cell>
          <cell r="G148">
            <v>275.26201853731732</v>
          </cell>
          <cell r="H148">
            <v>275.26201853731732</v>
          </cell>
          <cell r="I148">
            <v>0</v>
          </cell>
          <cell r="J148">
            <v>289.97356454889552</v>
          </cell>
          <cell r="K148">
            <v>289.97356454889552</v>
          </cell>
          <cell r="L148">
            <v>289.97356454889552</v>
          </cell>
          <cell r="W148">
            <v>1107896</v>
          </cell>
          <cell r="X148" t="str">
            <v xml:space="preserve">Concreto fck = 25 MPa - confecção em betoneira e lançamento manual - areia e brita comerciais  </v>
          </cell>
          <cell r="Y148" t="str">
            <v>m³</v>
          </cell>
          <cell r="Z148">
            <v>344.99</v>
          </cell>
          <cell r="AA148">
            <v>0</v>
          </cell>
          <cell r="BC148">
            <v>1107896</v>
          </cell>
          <cell r="BD148" t="str">
            <v xml:space="preserve">Concreto fck = 25 MPa - confecção em betoneira e lançamento manual - areia e brita comerciais  </v>
          </cell>
          <cell r="BE148" t="str">
            <v>m³</v>
          </cell>
          <cell r="BF148">
            <v>324.06</v>
          </cell>
          <cell r="BG148">
            <v>0</v>
          </cell>
          <cell r="CC148">
            <v>0</v>
          </cell>
          <cell r="CD148" t="str">
            <v>Concreto asfáltico com asfalto polímero - faixa C - areia e brita comerciais</v>
          </cell>
          <cell r="CE148" t="str">
            <v>t</v>
          </cell>
          <cell r="CF148">
            <v>7</v>
          </cell>
          <cell r="CG148">
            <v>0.16800000000000001</v>
          </cell>
          <cell r="CH148">
            <v>1</v>
          </cell>
          <cell r="CI148">
            <v>4011466</v>
          </cell>
          <cell r="CJ148">
            <v>130.81939260452867</v>
          </cell>
          <cell r="CK148">
            <v>28.867653727256133</v>
          </cell>
          <cell r="CL148">
            <v>4011466</v>
          </cell>
          <cell r="CM148">
            <v>135.10461380032868</v>
          </cell>
          <cell r="CN148">
            <v>29.81326491809093</v>
          </cell>
          <cell r="DN148" t="str">
            <v>Controlador de BSO, Trânsito e Segurança Patrimonial</v>
          </cell>
          <cell r="DO148">
            <v>1775.19</v>
          </cell>
          <cell r="DP148">
            <v>2017.43</v>
          </cell>
          <cell r="DQ148">
            <v>1.0335248790636142</v>
          </cell>
          <cell r="DR148">
            <v>1834.7030300649374</v>
          </cell>
          <cell r="DS148">
            <v>2224.472732371969</v>
          </cell>
        </row>
        <row r="149">
          <cell r="B149">
            <v>1106282</v>
          </cell>
          <cell r="C149" t="str">
            <v>SICRO</v>
          </cell>
          <cell r="D149" t="str">
            <v>Concreto para bombeamento fck = 40 MPa - confecção em central dosadora de 30 m³/h - areia e brita comerciais</v>
          </cell>
          <cell r="E149" t="str">
            <v>m³</v>
          </cell>
          <cell r="F149">
            <v>312.93413520068594</v>
          </cell>
          <cell r="G149">
            <v>312.93413520068594</v>
          </cell>
          <cell r="H149">
            <v>312.93413520068594</v>
          </cell>
          <cell r="I149">
            <v>0</v>
          </cell>
          <cell r="J149">
            <v>328.00494140000239</v>
          </cell>
          <cell r="K149">
            <v>328.00494140000239</v>
          </cell>
          <cell r="L149">
            <v>328.00494140000239</v>
          </cell>
          <cell r="W149" t="str">
            <v>E9526</v>
          </cell>
          <cell r="X149" t="str">
            <v>Retroescavadeira de pneus - 58 kW</v>
          </cell>
          <cell r="Y149" t="str">
            <v>h</v>
          </cell>
          <cell r="Z149">
            <v>96.534000000000006</v>
          </cell>
          <cell r="AA149">
            <v>50.708599999999997</v>
          </cell>
          <cell r="BC149" t="str">
            <v>E9526</v>
          </cell>
          <cell r="BD149" t="str">
            <v>Retroescavadeira de pneus - 58 kW</v>
          </cell>
          <cell r="BE149" t="str">
            <v>h</v>
          </cell>
          <cell r="BF149">
            <v>94.390900000000002</v>
          </cell>
          <cell r="BG149">
            <v>49.1601</v>
          </cell>
          <cell r="CC149">
            <v>0</v>
          </cell>
          <cell r="CD149" t="str">
            <v>Fornecimento de Material Betuminoso c/ polímero SBS</v>
          </cell>
          <cell r="CE149" t="str">
            <v>t</v>
          </cell>
          <cell r="CF149" t="str">
            <v>0,057732 t</v>
          </cell>
          <cell r="CG149">
            <v>9.6989759999999998E-3</v>
          </cell>
          <cell r="CH149">
            <v>1</v>
          </cell>
          <cell r="CI149" t="str">
            <v>CPU10</v>
          </cell>
          <cell r="CJ149">
            <v>4481.4349761078774</v>
          </cell>
          <cell r="CK149">
            <v>43.465330278830876</v>
          </cell>
          <cell r="CL149" t="str">
            <v>CPU10-1</v>
          </cell>
          <cell r="CM149">
            <v>4614.4401264709131</v>
          </cell>
          <cell r="CN149">
            <v>44.755344040078349</v>
          </cell>
          <cell r="DN149" t="str">
            <v>Segurança Viária</v>
          </cell>
          <cell r="DO149">
            <v>0</v>
          </cell>
          <cell r="DP149">
            <v>0</v>
          </cell>
          <cell r="DQ149">
            <v>0</v>
          </cell>
          <cell r="DR149">
            <v>0</v>
          </cell>
          <cell r="DS149">
            <v>0</v>
          </cell>
        </row>
        <row r="150">
          <cell r="B150">
            <v>1207700</v>
          </cell>
          <cell r="C150" t="str">
            <v>SICRO</v>
          </cell>
          <cell r="D150" t="str">
            <v>Concreto fck = 20 MPa para projeção via seca - confecção em betoneira</v>
          </cell>
          <cell r="E150" t="str">
            <v>m³</v>
          </cell>
          <cell r="F150">
            <v>367.41994153385718</v>
          </cell>
          <cell r="G150">
            <v>367.41994153385718</v>
          </cell>
          <cell r="H150">
            <v>367.41994153385718</v>
          </cell>
          <cell r="I150">
            <v>0</v>
          </cell>
          <cell r="J150">
            <v>375.64262929519055</v>
          </cell>
          <cell r="K150">
            <v>375.64262929519055</v>
          </cell>
          <cell r="L150">
            <v>375.64262929519055</v>
          </cell>
          <cell r="W150">
            <v>2009619</v>
          </cell>
          <cell r="X150" t="str">
            <v xml:space="preserve">Alvenaria de blocos de concreto 20 x 20 x 40 cm com espessura de 20 cm - areia comercial </v>
          </cell>
          <cell r="Y150" t="str">
            <v>m²</v>
          </cell>
          <cell r="Z150">
            <v>88.84</v>
          </cell>
          <cell r="AA150">
            <v>0</v>
          </cell>
          <cell r="BC150">
            <v>2009619</v>
          </cell>
          <cell r="BD150" t="str">
            <v xml:space="preserve">Alvenaria de blocos de concreto 20 x 20 x 40 cm com espessura de 20 cm - areia comercial </v>
          </cell>
          <cell r="BE150" t="str">
            <v>m²</v>
          </cell>
          <cell r="BF150">
            <v>80.61</v>
          </cell>
          <cell r="BG150">
            <v>0</v>
          </cell>
          <cell r="CC150">
            <v>0</v>
          </cell>
          <cell r="CD150" t="str">
            <v>Pintura de ligação</v>
          </cell>
          <cell r="CE150" t="str">
            <v>m²</v>
          </cell>
          <cell r="CF150">
            <v>2</v>
          </cell>
          <cell r="CG150">
            <v>2</v>
          </cell>
          <cell r="CH150">
            <v>1</v>
          </cell>
          <cell r="CI150">
            <v>4011353</v>
          </cell>
          <cell r="CJ150">
            <v>0.18392808219669335</v>
          </cell>
          <cell r="CK150">
            <v>0.48317907193071341</v>
          </cell>
          <cell r="CL150">
            <v>4011353</v>
          </cell>
          <cell r="CM150">
            <v>0.18912484066666665</v>
          </cell>
          <cell r="CN150">
            <v>0.49683095643133324</v>
          </cell>
          <cell r="DN150" t="str">
            <v>Supervisor de Segurança Viária</v>
          </cell>
          <cell r="DO150">
            <v>3870.48</v>
          </cell>
          <cell r="DP150">
            <v>4334.2700000000004</v>
          </cell>
          <cell r="DQ150">
            <v>1.0335248790636142</v>
          </cell>
          <cell r="DR150">
            <v>4000.2373739181376</v>
          </cell>
          <cell r="DS150">
            <v>3857.5021810716676</v>
          </cell>
        </row>
        <row r="151">
          <cell r="B151">
            <v>1505860</v>
          </cell>
          <cell r="C151" t="str">
            <v>SICRO</v>
          </cell>
          <cell r="D151" t="str">
            <v>Enrocamento de pedra jogada - pedra de mão comercial - fornecimento e assentamento</v>
          </cell>
          <cell r="E151" t="str">
            <v>m³</v>
          </cell>
          <cell r="F151">
            <v>110.025925</v>
          </cell>
          <cell r="G151">
            <v>110.025925</v>
          </cell>
          <cell r="H151">
            <v>110.025925</v>
          </cell>
          <cell r="I151">
            <v>0</v>
          </cell>
          <cell r="J151">
            <v>127.99577500000001</v>
          </cell>
          <cell r="K151">
            <v>127.99577500000001</v>
          </cell>
          <cell r="L151">
            <v>127.99577500000001</v>
          </cell>
          <cell r="W151">
            <v>2003316</v>
          </cell>
          <cell r="X151" t="str">
            <v xml:space="preserve">Grelha de concreto 53 x 110 cm para boca-de-lobo - areia e brita comerciais - sobrecarcarga do trem tipo TB 45 </v>
          </cell>
          <cell r="Y151" t="str">
            <v>un</v>
          </cell>
          <cell r="Z151">
            <v>78.400000000000006</v>
          </cell>
          <cell r="AA151">
            <v>0</v>
          </cell>
          <cell r="BC151">
            <v>2003316</v>
          </cell>
          <cell r="BD151" t="str">
            <v xml:space="preserve">Grelha de concreto 53 x 110 cm para boca-de-lobo - areia e brita comerciais - sobrecarcarga do trem tipo TB 45 </v>
          </cell>
          <cell r="BE151" t="str">
            <v>un</v>
          </cell>
          <cell r="BF151">
            <v>75.180000000000007</v>
          </cell>
          <cell r="BG151">
            <v>0</v>
          </cell>
          <cell r="CC151">
            <v>0</v>
          </cell>
          <cell r="CD151" t="str">
            <v>Fornecimento de emulsão RR-1C</v>
          </cell>
          <cell r="CE151" t="str">
            <v>t</v>
          </cell>
          <cell r="CF151" t="str">
            <v>0,00045 t</v>
          </cell>
          <cell r="CG151">
            <v>8.9999999999999998E-4</v>
          </cell>
          <cell r="CH151">
            <v>1</v>
          </cell>
          <cell r="CI151" t="str">
            <v>CPU04</v>
          </cell>
          <cell r="CJ151">
            <v>2511.8507594331254</v>
          </cell>
          <cell r="CK151">
            <v>2.2606656834898127</v>
          </cell>
          <cell r="CL151" t="str">
            <v>CPU04-1</v>
          </cell>
          <cell r="CM151">
            <v>2535.6603093736671</v>
          </cell>
          <cell r="CN151">
            <v>2.2820942784363005</v>
          </cell>
          <cell r="DN151" t="str">
            <v>Auxiliar de Segurança Viária</v>
          </cell>
          <cell r="DO151">
            <v>1007.96</v>
          </cell>
          <cell r="DP151">
            <v>1115.1600000000001</v>
          </cell>
          <cell r="DQ151">
            <v>1.0335248790636142</v>
          </cell>
          <cell r="DR151">
            <v>1041.7517371009606</v>
          </cell>
          <cell r="DS151">
            <v>1626.5081623478343</v>
          </cell>
        </row>
        <row r="152">
          <cell r="B152">
            <v>1600438</v>
          </cell>
          <cell r="C152" t="str">
            <v>SICRO</v>
          </cell>
          <cell r="D152" t="str">
            <v>Demolição de concreto armado</v>
          </cell>
          <cell r="E152" t="str">
            <v>m³</v>
          </cell>
          <cell r="F152">
            <v>610.53737999999987</v>
          </cell>
          <cell r="G152">
            <v>610.53737999999987</v>
          </cell>
          <cell r="H152">
            <v>610.53737999999987</v>
          </cell>
          <cell r="I152">
            <v>0</v>
          </cell>
          <cell r="J152">
            <v>629.15557999999999</v>
          </cell>
          <cell r="K152">
            <v>629.15557999999999</v>
          </cell>
          <cell r="L152">
            <v>629.15557999999999</v>
          </cell>
          <cell r="W152" t="str">
            <v>E9687</v>
          </cell>
          <cell r="X152" t="str">
            <v>Caminhão carroceria com capacidade de 5 t - 115 kW</v>
          </cell>
          <cell r="Y152" t="str">
            <v>h</v>
          </cell>
          <cell r="Z152">
            <v>110.6221</v>
          </cell>
          <cell r="AA152">
            <v>38.714300000000001</v>
          </cell>
          <cell r="BC152" t="str">
            <v>E9687</v>
          </cell>
          <cell r="BD152" t="str">
            <v>Caminhão carroceria com capacidade de 5 t - 115 kW</v>
          </cell>
          <cell r="BE152" t="str">
            <v>h</v>
          </cell>
          <cell r="BF152">
            <v>110.3766</v>
          </cell>
          <cell r="BG152">
            <v>39.482599999999998</v>
          </cell>
          <cell r="CC152">
            <v>0</v>
          </cell>
          <cell r="CD152" t="str">
            <v>Pintura de faixa - tinta base acrílica - espessura de 0,6 mm</v>
          </cell>
          <cell r="CE152" t="str">
            <v>m²</v>
          </cell>
          <cell r="CF152" t="str">
            <v>2 faixas cont. + 1 faixa não cont.</v>
          </cell>
          <cell r="CG152">
            <v>4.4871794871794872E-2</v>
          </cell>
          <cell r="CH152">
            <v>1</v>
          </cell>
          <cell r="CI152">
            <v>5213401</v>
          </cell>
          <cell r="CJ152">
            <v>20.390807290896916</v>
          </cell>
          <cell r="CK152">
            <v>1.2018158822830236</v>
          </cell>
          <cell r="CL152">
            <v>5213401</v>
          </cell>
          <cell r="CM152">
            <v>22.71825438768407</v>
          </cell>
          <cell r="CN152">
            <v>1.3389935254330845</v>
          </cell>
          <cell r="DN152" t="str">
            <v>Sistema de Pesagem de Veículos</v>
          </cell>
          <cell r="DO152">
            <v>0</v>
          </cell>
          <cell r="DP152">
            <v>0</v>
          </cell>
          <cell r="DQ152">
            <v>0</v>
          </cell>
          <cell r="DR152">
            <v>0</v>
          </cell>
          <cell r="DS152">
            <v>0</v>
          </cell>
        </row>
        <row r="153">
          <cell r="B153">
            <v>1600447</v>
          </cell>
          <cell r="C153" t="str">
            <v>SICRO</v>
          </cell>
          <cell r="D153" t="str">
            <v>Demolição manual de meio fio de concreto</v>
          </cell>
          <cell r="E153" t="str">
            <v>m</v>
          </cell>
          <cell r="F153">
            <v>402.76665085638996</v>
          </cell>
          <cell r="G153">
            <v>402.76665085638996</v>
          </cell>
          <cell r="H153">
            <v>402.76665085638996</v>
          </cell>
          <cell r="I153">
            <v>0</v>
          </cell>
          <cell r="J153">
            <v>414.28740623627579</v>
          </cell>
          <cell r="K153">
            <v>414.28740623627579</v>
          </cell>
          <cell r="L153">
            <v>414.28740623627579</v>
          </cell>
          <cell r="W153" t="str">
            <v>E9644</v>
          </cell>
          <cell r="X153" t="str">
            <v>Caminhão para pintura a frio com demarcador de faixas - 28 kW/ 115 kW</v>
          </cell>
          <cell r="Y153" t="str">
            <v>h</v>
          </cell>
          <cell r="Z153">
            <v>268.42860000000002</v>
          </cell>
          <cell r="AA153">
            <v>136.7851</v>
          </cell>
          <cell r="BC153" t="str">
            <v>E9644</v>
          </cell>
          <cell r="BD153" t="str">
            <v>Caminhão para pintura a frio com demarcador de faixas - 28 kW/ 115 kW</v>
          </cell>
          <cell r="BE153" t="str">
            <v>h</v>
          </cell>
          <cell r="BF153">
            <v>261.60149999999999</v>
          </cell>
          <cell r="BG153">
            <v>131.2046</v>
          </cell>
          <cell r="CC153">
            <v>0</v>
          </cell>
          <cell r="CD153" t="str">
            <v>Tacha refletiva monodirecional - fornecimento e colocação</v>
          </cell>
          <cell r="CE153" t="str">
            <v>un</v>
          </cell>
          <cell r="CF153" t="str">
            <v>3 / 16m / 7,8m largura</v>
          </cell>
          <cell r="CG153">
            <v>2.403846153846154E-2</v>
          </cell>
          <cell r="CH153">
            <v>1</v>
          </cell>
          <cell r="CI153">
            <v>5213359</v>
          </cell>
          <cell r="CJ153">
            <v>12.189996472111552</v>
          </cell>
          <cell r="CK153">
            <v>0.38489327803169532</v>
          </cell>
          <cell r="CL153">
            <v>5213359</v>
          </cell>
          <cell r="CM153">
            <v>14.739324009960159</v>
          </cell>
          <cell r="CN153">
            <v>0.46538706940102564</v>
          </cell>
          <cell r="DN153" t="str">
            <v>Coordenador de pesagem</v>
          </cell>
          <cell r="DO153">
            <v>4097.43</v>
          </cell>
          <cell r="DP153">
            <v>4634.38</v>
          </cell>
          <cell r="DQ153">
            <v>1.0335248790636142</v>
          </cell>
          <cell r="DR153">
            <v>4234.7958452216253</v>
          </cell>
          <cell r="DS153">
            <v>4034.3827242816278</v>
          </cell>
        </row>
        <row r="154">
          <cell r="B154">
            <v>1600402</v>
          </cell>
          <cell r="C154" t="str">
            <v>SICRO</v>
          </cell>
          <cell r="D154" t="str">
            <v>Remoção de tubos de concreto em valas e bueiros - D = 600 mm</v>
          </cell>
          <cell r="E154" t="str">
            <v>m</v>
          </cell>
          <cell r="F154">
            <v>8.1480662650602405</v>
          </cell>
          <cell r="G154">
            <v>8.1480662650602405</v>
          </cell>
          <cell r="H154">
            <v>8.1480662650602405</v>
          </cell>
          <cell r="I154">
            <v>0</v>
          </cell>
          <cell r="J154">
            <v>8.3502891566265056</v>
          </cell>
          <cell r="K154">
            <v>8.3502891566265056</v>
          </cell>
          <cell r="L154">
            <v>8.3502891566265056</v>
          </cell>
          <cell r="W154" t="str">
            <v>P9853</v>
          </cell>
          <cell r="X154" t="str">
            <v>Pré-marcador</v>
          </cell>
          <cell r="Y154" t="str">
            <v>h</v>
          </cell>
          <cell r="Z154">
            <v>22.768899999999999</v>
          </cell>
          <cell r="AA154">
            <v>0</v>
          </cell>
          <cell r="BC154" t="str">
            <v>P9853</v>
          </cell>
          <cell r="BD154" t="str">
            <v>Pré-marcador</v>
          </cell>
          <cell r="BE154" t="str">
            <v>h</v>
          </cell>
          <cell r="BF154">
            <v>22.538699999999999</v>
          </cell>
          <cell r="BG154">
            <v>0</v>
          </cell>
          <cell r="CC154">
            <v>0</v>
          </cell>
          <cell r="CD154" t="str">
            <v>Tacha refletiva metálica com dois pinos - bidirecional - fornecimento e colocação</v>
          </cell>
          <cell r="CE154" t="str">
            <v>un</v>
          </cell>
          <cell r="CF154" t="str">
            <v>não aplicada</v>
          </cell>
          <cell r="CG154">
            <v>0</v>
          </cell>
          <cell r="CH154">
            <v>1</v>
          </cell>
          <cell r="CI154">
            <v>5213395</v>
          </cell>
          <cell r="CJ154">
            <v>32.534966247709477</v>
          </cell>
          <cell r="CK154">
            <v>0</v>
          </cell>
          <cell r="CL154">
            <v>5213395</v>
          </cell>
          <cell r="CM154">
            <v>34.530034902548728</v>
          </cell>
          <cell r="CN154">
            <v>0</v>
          </cell>
          <cell r="DN154" t="str">
            <v>Supervisor de Operações / Pesagem</v>
          </cell>
          <cell r="DO154">
            <v>3870.48</v>
          </cell>
          <cell r="DP154">
            <v>4334.2700000000004</v>
          </cell>
          <cell r="DQ154">
            <v>1.0335248790636142</v>
          </cell>
          <cell r="DR154">
            <v>4000.2373739181376</v>
          </cell>
          <cell r="DS154">
            <v>3857.5021810716676</v>
          </cell>
        </row>
        <row r="155">
          <cell r="B155">
            <v>2003620</v>
          </cell>
          <cell r="C155" t="str">
            <v>SICRO</v>
          </cell>
          <cell r="D155" t="str">
            <v>Boca de lobo simples - BLS 02 - areia e brita comerciais</v>
          </cell>
          <cell r="E155" t="str">
            <v>un</v>
          </cell>
          <cell r="F155">
            <v>846.9668999999999</v>
          </cell>
          <cell r="G155">
            <v>846.9668999999999</v>
          </cell>
          <cell r="H155">
            <v>846.9668999999999</v>
          </cell>
          <cell r="I155">
            <v>0</v>
          </cell>
          <cell r="J155">
            <v>918.24137999999994</v>
          </cell>
          <cell r="K155">
            <v>918.24137999999994</v>
          </cell>
          <cell r="L155">
            <v>918.24137999999994</v>
          </cell>
          <cell r="W155" t="str">
            <v>M2037</v>
          </cell>
          <cell r="X155" t="str">
            <v>Microesferas de vidro refletiva tipo I-B</v>
          </cell>
          <cell r="Y155" t="str">
            <v>kg</v>
          </cell>
          <cell r="Z155">
            <v>6.38</v>
          </cell>
          <cell r="AA155">
            <v>0</v>
          </cell>
          <cell r="BC155" t="str">
            <v>M2037</v>
          </cell>
          <cell r="BD155" t="str">
            <v>Microesferas de vidro refletiva tipo I-B</v>
          </cell>
          <cell r="BE155" t="str">
            <v>kg</v>
          </cell>
          <cell r="BF155">
            <v>6.2478999999999996</v>
          </cell>
          <cell r="BG155">
            <v>0</v>
          </cell>
          <cell r="CC155" t="str">
            <v>F4R8</v>
          </cell>
          <cell r="CD155" t="str">
            <v xml:space="preserve"> (4,0cm) FRESAGEM +(8,0cm) CBUQ C/ POLÍMERO</v>
          </cell>
          <cell r="CE155">
            <v>0</v>
          </cell>
          <cell r="CF155">
            <v>0</v>
          </cell>
          <cell r="CG155">
            <v>0</v>
          </cell>
          <cell r="CH155">
            <v>0</v>
          </cell>
          <cell r="CI155">
            <v>0</v>
          </cell>
          <cell r="CJ155">
            <v>0</v>
          </cell>
          <cell r="CK155">
            <v>90.46741203923709</v>
          </cell>
          <cell r="CL155">
            <v>0</v>
          </cell>
          <cell r="CM155">
            <v>0</v>
          </cell>
          <cell r="CN155">
            <v>94.287713136216738</v>
          </cell>
          <cell r="DN155" t="str">
            <v>Supervisor de Balança</v>
          </cell>
          <cell r="DO155">
            <v>3870.48</v>
          </cell>
          <cell r="DP155">
            <v>4334.2700000000004</v>
          </cell>
          <cell r="DQ155">
            <v>1.0335248790636142</v>
          </cell>
          <cell r="DR155">
            <v>4000.2373739181376</v>
          </cell>
          <cell r="DS155">
            <v>3857.5021810716676</v>
          </cell>
        </row>
        <row r="156">
          <cell r="B156">
            <v>2003634</v>
          </cell>
          <cell r="C156" t="str">
            <v>SICRO</v>
          </cell>
          <cell r="D156" t="str">
            <v>Boca de lobo dupla - grelha de concreto - BLDG 01 - areia e brita comerciais</v>
          </cell>
          <cell r="E156" t="str">
            <v>un</v>
          </cell>
          <cell r="F156">
            <v>1412.7264000000002</v>
          </cell>
          <cell r="G156">
            <v>1412.7264000000002</v>
          </cell>
          <cell r="H156">
            <v>1412.7264000000002</v>
          </cell>
          <cell r="I156">
            <v>0</v>
          </cell>
          <cell r="J156">
            <v>1508.3493800000001</v>
          </cell>
          <cell r="K156">
            <v>1508.3493800000001</v>
          </cell>
          <cell r="L156">
            <v>1508.3493800000001</v>
          </cell>
          <cell r="W156" t="str">
            <v>M2038</v>
          </cell>
          <cell r="X156" t="str">
            <v>Microesferas de vidro refletiva tipo II-A</v>
          </cell>
          <cell r="Y156" t="str">
            <v>kg</v>
          </cell>
          <cell r="Z156">
            <v>5.57</v>
          </cell>
          <cell r="AA156">
            <v>0</v>
          </cell>
          <cell r="BC156" t="str">
            <v>M2038</v>
          </cell>
          <cell r="BD156" t="str">
            <v>Microesferas de vidro refletiva tipo II-A</v>
          </cell>
          <cell r="BE156" t="str">
            <v>kg</v>
          </cell>
          <cell r="BF156">
            <v>5.1283000000000003</v>
          </cell>
          <cell r="BG156">
            <v>0</v>
          </cell>
          <cell r="CC156" t="str">
            <v>(m²)</v>
          </cell>
          <cell r="CD156" t="str">
            <v>Fresagem descontínua de revestimento betuminoso</v>
          </cell>
          <cell r="CE156" t="str">
            <v>m³</v>
          </cell>
          <cell r="CF156">
            <v>4</v>
          </cell>
          <cell r="CG156">
            <v>0.04</v>
          </cell>
          <cell r="CH156">
            <v>1</v>
          </cell>
          <cell r="CI156">
            <v>4011480</v>
          </cell>
          <cell r="CJ156">
            <v>50.02322121102204</v>
          </cell>
          <cell r="CK156">
            <v>2.6282200424270976</v>
          </cell>
          <cell r="CL156">
            <v>4011480</v>
          </cell>
          <cell r="CM156">
            <v>50.377443150593948</v>
          </cell>
          <cell r="CN156">
            <v>2.6468308631322057</v>
          </cell>
          <cell r="DN156" t="str">
            <v>Operador de Balança</v>
          </cell>
          <cell r="DO156">
            <v>1395.24</v>
          </cell>
          <cell r="DP156">
            <v>1648.87</v>
          </cell>
          <cell r="DQ156">
            <v>1.0335248790636142</v>
          </cell>
          <cell r="DR156">
            <v>1442.0152522647172</v>
          </cell>
          <cell r="DS156">
            <v>1928.3468791328232</v>
          </cell>
        </row>
        <row r="157">
          <cell r="B157">
            <v>2003613</v>
          </cell>
          <cell r="C157" t="str">
            <v>SICRO</v>
          </cell>
          <cell r="D157" t="str">
            <v>Boca de saída para dreno sub-superficial - BSD 03 - areia e brita comerciais</v>
          </cell>
          <cell r="E157" t="str">
            <v>un</v>
          </cell>
          <cell r="F157">
            <v>112.97436</v>
          </cell>
          <cell r="G157">
            <v>112.97436</v>
          </cell>
          <cell r="H157">
            <v>112.97436</v>
          </cell>
          <cell r="I157">
            <v>0</v>
          </cell>
          <cell r="J157">
            <v>119.18226000000001</v>
          </cell>
          <cell r="K157">
            <v>119.18226000000001</v>
          </cell>
          <cell r="L157">
            <v>119.18226000000001</v>
          </cell>
          <cell r="W157" t="str">
            <v>M2034</v>
          </cell>
          <cell r="X157" t="str">
            <v>Solvente para tinta à base de resina acrílica</v>
          </cell>
          <cell r="Y157" t="str">
            <v>l</v>
          </cell>
          <cell r="Z157">
            <v>9.2573000000000008</v>
          </cell>
          <cell r="AA157">
            <v>0</v>
          </cell>
          <cell r="BC157" t="str">
            <v>M2034</v>
          </cell>
          <cell r="BD157" t="str">
            <v>Solvente para tinta à base de resina acrílica</v>
          </cell>
          <cell r="BE157" t="str">
            <v>l</v>
          </cell>
          <cell r="BF157">
            <v>10.447800000000001</v>
          </cell>
          <cell r="BG157">
            <v>0</v>
          </cell>
          <cell r="CC157">
            <v>0</v>
          </cell>
          <cell r="CD157" t="str">
            <v>Carga, manobra e descarga de areia, brita, pedra de mão ou solos em caminhão basculante de 10 m³ - carga com carregadeira e descarga livre</v>
          </cell>
          <cell r="CE157" t="str">
            <v>t</v>
          </cell>
          <cell r="CF157" t="str">
            <v>2,4t/m³</v>
          </cell>
          <cell r="CG157">
            <v>9.6000000000000002E-2</v>
          </cell>
          <cell r="CH157">
            <v>1</v>
          </cell>
          <cell r="CI157">
            <v>5915407</v>
          </cell>
          <cell r="CJ157">
            <v>1.6993770350671593</v>
          </cell>
          <cell r="CK157">
            <v>0.21428464661382851</v>
          </cell>
          <cell r="CL157">
            <v>5914352</v>
          </cell>
          <cell r="CM157">
            <v>9.5803793626707137</v>
          </cell>
          <cell r="CN157">
            <v>1.2080475161153263</v>
          </cell>
          <cell r="DN157" t="str">
            <v>Técnico em Sistema ITS</v>
          </cell>
          <cell r="DO157">
            <v>2025.14</v>
          </cell>
          <cell r="DP157">
            <v>2285.77</v>
          </cell>
          <cell r="DQ157">
            <v>1.0335248790636142</v>
          </cell>
          <cell r="DR157">
            <v>2093.0325735868878</v>
          </cell>
          <cell r="DS157">
            <v>2419.2790411418719</v>
          </cell>
        </row>
        <row r="158">
          <cell r="B158">
            <v>2003477</v>
          </cell>
          <cell r="C158" t="str">
            <v>SICRO</v>
          </cell>
          <cell r="D158" t="str">
            <v>Caixa coletora de sarjeta - CCS 01 - com grelha de concreto - TCC 01 - areia e brita comerciais</v>
          </cell>
          <cell r="E158" t="str">
            <v>un</v>
          </cell>
          <cell r="F158">
            <v>3083.5067200000003</v>
          </cell>
          <cell r="G158">
            <v>3083.5067200000003</v>
          </cell>
          <cell r="H158">
            <v>3083.5067200000003</v>
          </cell>
          <cell r="I158">
            <v>0</v>
          </cell>
          <cell r="J158">
            <v>3226.1866799999998</v>
          </cell>
          <cell r="K158">
            <v>3226.1866799999998</v>
          </cell>
          <cell r="L158">
            <v>3226.1866799999998</v>
          </cell>
          <cell r="W158" t="str">
            <v>M2044</v>
          </cell>
          <cell r="X158" t="str">
            <v>Tinta para pré-marcação</v>
          </cell>
          <cell r="Y158" t="str">
            <v>l</v>
          </cell>
          <cell r="Z158">
            <v>17.777699999999999</v>
          </cell>
          <cell r="AA158">
            <v>0</v>
          </cell>
          <cell r="BC158" t="str">
            <v>M2044</v>
          </cell>
          <cell r="BD158" t="str">
            <v>Tinta para pré-marcação</v>
          </cell>
          <cell r="BE158" t="str">
            <v>l</v>
          </cell>
          <cell r="BF158">
            <v>17.843900000000001</v>
          </cell>
          <cell r="BG158">
            <v>0</v>
          </cell>
          <cell r="CC158">
            <v>0</v>
          </cell>
          <cell r="CD158" t="str">
            <v>Transporte com caminhão basculante de 12m³ - rodovia em revestimento primário</v>
          </cell>
          <cell r="CE158" t="str">
            <v>tkm</v>
          </cell>
          <cell r="CF158" t="str">
            <v>DMT = 10km</v>
          </cell>
          <cell r="CG158">
            <v>0.96</v>
          </cell>
          <cell r="CH158">
            <v>1</v>
          </cell>
          <cell r="CI158">
            <v>5914335</v>
          </cell>
          <cell r="CJ158">
            <v>0.49810144567068276</v>
          </cell>
          <cell r="CK158">
            <v>0.62808599893290407</v>
          </cell>
          <cell r="CL158">
            <v>5914335</v>
          </cell>
          <cell r="CM158">
            <v>0.49824066306827308</v>
          </cell>
          <cell r="CN158">
            <v>0.62826154650256949</v>
          </cell>
          <cell r="DN158" t="str">
            <v>Sistema de Arrecadação</v>
          </cell>
          <cell r="DO158">
            <v>0</v>
          </cell>
          <cell r="DP158">
            <v>0</v>
          </cell>
          <cell r="DQ158">
            <v>0</v>
          </cell>
          <cell r="DR158">
            <v>0</v>
          </cell>
          <cell r="DS158">
            <v>0</v>
          </cell>
        </row>
        <row r="159">
          <cell r="B159">
            <v>2003483</v>
          </cell>
          <cell r="C159" t="str">
            <v>SICRO</v>
          </cell>
          <cell r="D159" t="str">
            <v>Caixa coletora de sarjeta - CCS 04 - com grelha de concreto - TCC 01 - areia e brita comerciais</v>
          </cell>
          <cell r="E159" t="str">
            <v>un</v>
          </cell>
          <cell r="F159">
            <v>2992.1087200000002</v>
          </cell>
          <cell r="G159">
            <v>2992.1087200000002</v>
          </cell>
          <cell r="H159">
            <v>2992.1087200000002</v>
          </cell>
          <cell r="I159">
            <v>0</v>
          </cell>
          <cell r="J159">
            <v>3128.5936799999999</v>
          </cell>
          <cell r="K159">
            <v>3128.5936799999999</v>
          </cell>
          <cell r="L159">
            <v>3128.5936799999999</v>
          </cell>
          <cell r="W159" t="str">
            <v>M2027</v>
          </cell>
          <cell r="X159" t="str">
            <v>Tinta refletiva acrílica</v>
          </cell>
          <cell r="Y159" t="str">
            <v>l</v>
          </cell>
          <cell r="Z159">
            <v>27.292000000000002</v>
          </cell>
          <cell r="AA159">
            <v>0</v>
          </cell>
          <cell r="BC159" t="str">
            <v>M2027</v>
          </cell>
          <cell r="BD159" t="str">
            <v>Tinta refletiva acrílica</v>
          </cell>
          <cell r="BE159" t="str">
            <v>l</v>
          </cell>
          <cell r="BF159">
            <v>23.677499999999998</v>
          </cell>
          <cell r="BG159">
            <v>0</v>
          </cell>
          <cell r="CC159">
            <v>0</v>
          </cell>
          <cell r="CD159" t="str">
            <v>Concreto asfáltico com asfalto polímero - faixa C - areia e brita comerciais</v>
          </cell>
          <cell r="CE159" t="str">
            <v>t</v>
          </cell>
          <cell r="CF159">
            <v>8</v>
          </cell>
          <cell r="CG159">
            <v>0.192</v>
          </cell>
          <cell r="CH159">
            <v>1</v>
          </cell>
          <cell r="CI159">
            <v>4011466</v>
          </cell>
          <cell r="CJ159">
            <v>130.81939260452867</v>
          </cell>
          <cell r="CK159">
            <v>32.991604259721292</v>
          </cell>
          <cell r="CL159">
            <v>4011466</v>
          </cell>
          <cell r="CM159">
            <v>135.10461380032868</v>
          </cell>
          <cell r="CN159">
            <v>34.072302763532484</v>
          </cell>
          <cell r="DN159" t="str">
            <v>Supervisor de Pedágio</v>
          </cell>
          <cell r="DO159">
            <v>3864.81</v>
          </cell>
          <cell r="DP159">
            <v>4241.51</v>
          </cell>
          <cell r="DQ159">
            <v>1.0335248790636142</v>
          </cell>
          <cell r="DR159">
            <v>3994.3772878538471</v>
          </cell>
          <cell r="DS159">
            <v>3853.0830901705858</v>
          </cell>
        </row>
        <row r="160">
          <cell r="B160">
            <v>2003732</v>
          </cell>
          <cell r="C160" t="str">
            <v>SICRO</v>
          </cell>
          <cell r="D160" t="str">
            <v>Caixa coletora de talvegue - CCT 03 - areia e brita comerciais</v>
          </cell>
          <cell r="E160" t="str">
            <v>un</v>
          </cell>
          <cell r="F160">
            <v>2829.2021999999997</v>
          </cell>
          <cell r="G160">
            <v>2829.2021999999997</v>
          </cell>
          <cell r="H160">
            <v>2829.2021999999997</v>
          </cell>
          <cell r="I160">
            <v>0</v>
          </cell>
          <cell r="J160">
            <v>2960.5367000000001</v>
          </cell>
          <cell r="K160">
            <v>2960.5367000000001</v>
          </cell>
          <cell r="L160">
            <v>2960.5367000000001</v>
          </cell>
          <cell r="W160" t="str">
            <v>M2037</v>
          </cell>
          <cell r="X160" t="str">
            <v>Microesferas de vidro refletiva tipo I-B - Caminhão carroceria 5 t</v>
          </cell>
          <cell r="Y160" t="str">
            <v>kg</v>
          </cell>
          <cell r="Z160">
            <v>6.38</v>
          </cell>
          <cell r="AA160">
            <v>0</v>
          </cell>
          <cell r="BC160" t="str">
            <v>M2037</v>
          </cell>
          <cell r="BD160" t="str">
            <v>Microesferas de vidro refletiva tipo I-B - Caminhão carroceria 5 t</v>
          </cell>
          <cell r="BE160" t="str">
            <v>kg</v>
          </cell>
          <cell r="BF160">
            <v>6.2478999999999996</v>
          </cell>
          <cell r="BG160">
            <v>0</v>
          </cell>
          <cell r="CC160">
            <v>0</v>
          </cell>
          <cell r="CD160" t="str">
            <v>Fornecimento de Material Betuminoso c/ polímero SBS</v>
          </cell>
          <cell r="CE160" t="str">
            <v>t</v>
          </cell>
          <cell r="CF160" t="str">
            <v>0,057732 t</v>
          </cell>
          <cell r="CG160">
            <v>1.1084544E-2</v>
          </cell>
          <cell r="CH160">
            <v>1</v>
          </cell>
          <cell r="CI160" t="str">
            <v>CPU10</v>
          </cell>
          <cell r="CJ160">
            <v>4481.4349761078774</v>
          </cell>
          <cell r="CK160">
            <v>49.674663175806714</v>
          </cell>
          <cell r="CL160" t="str">
            <v>CPU10-1</v>
          </cell>
          <cell r="CM160">
            <v>4614.4401264709131</v>
          </cell>
          <cell r="CN160">
            <v>51.148964617232402</v>
          </cell>
          <cell r="DN160" t="str">
            <v>Conferente de Arrecadação</v>
          </cell>
          <cell r="DO160">
            <v>1508.67</v>
          </cell>
          <cell r="DP160">
            <v>1621.87</v>
          </cell>
          <cell r="DQ160">
            <v>1.0335248790636142</v>
          </cell>
          <cell r="DR160">
            <v>1559.2479792969029</v>
          </cell>
          <cell r="DS160">
            <v>2016.7520785877946</v>
          </cell>
        </row>
        <row r="161">
          <cell r="B161">
            <v>2003734</v>
          </cell>
          <cell r="C161" t="str">
            <v>SICRO</v>
          </cell>
          <cell r="D161" t="str">
            <v>Caixa coletora de talvegue - CCT 04 - areia e brita comerciais</v>
          </cell>
          <cell r="E161" t="str">
            <v>un</v>
          </cell>
          <cell r="F161">
            <v>2795.6895999999997</v>
          </cell>
          <cell r="G161">
            <v>2795.6895999999997</v>
          </cell>
          <cell r="H161">
            <v>2795.6895999999997</v>
          </cell>
          <cell r="I161">
            <v>0</v>
          </cell>
          <cell r="J161">
            <v>2924.7526000000003</v>
          </cell>
          <cell r="K161">
            <v>2924.7526000000003</v>
          </cell>
          <cell r="L161">
            <v>2924.7526000000003</v>
          </cell>
          <cell r="W161" t="str">
            <v>M2038</v>
          </cell>
          <cell r="X161" t="str">
            <v>Microesferas de vidro refletiva tipo II-A - Caminhão carroceria 5 t</v>
          </cell>
          <cell r="Y161" t="str">
            <v>kg</v>
          </cell>
          <cell r="Z161">
            <v>5.57</v>
          </cell>
          <cell r="AA161">
            <v>0</v>
          </cell>
          <cell r="BC161" t="str">
            <v>M2038</v>
          </cell>
          <cell r="BD161" t="str">
            <v>Microesferas de vidro refletiva tipo II-A - Caminhão carroceria 5 t</v>
          </cell>
          <cell r="BE161" t="str">
            <v>kg</v>
          </cell>
          <cell r="BF161">
            <v>5.1283000000000003</v>
          </cell>
          <cell r="BG161">
            <v>0</v>
          </cell>
          <cell r="CC161">
            <v>0</v>
          </cell>
          <cell r="CD161" t="str">
            <v>Pintura de ligação</v>
          </cell>
          <cell r="CE161" t="str">
            <v>m²</v>
          </cell>
          <cell r="CF161">
            <v>2</v>
          </cell>
          <cell r="CG161">
            <v>2</v>
          </cell>
          <cell r="CH161">
            <v>1</v>
          </cell>
          <cell r="CI161">
            <v>4011353</v>
          </cell>
          <cell r="CJ161">
            <v>0.18392808219669335</v>
          </cell>
          <cell r="CK161">
            <v>0.48317907193071341</v>
          </cell>
          <cell r="CL161">
            <v>4011353</v>
          </cell>
          <cell r="CM161">
            <v>0.18912484066666665</v>
          </cell>
          <cell r="CN161">
            <v>0.49683095643133324</v>
          </cell>
          <cell r="DN161" t="str">
            <v>Auxiliar de Pista</v>
          </cell>
          <cell r="DO161">
            <v>1007.96</v>
          </cell>
          <cell r="DP161">
            <v>1115.1600000000001</v>
          </cell>
          <cell r="DQ161">
            <v>1.0335248790636142</v>
          </cell>
          <cell r="DR161">
            <v>1041.7517371009606</v>
          </cell>
          <cell r="DS161">
            <v>1626.5081623478343</v>
          </cell>
        </row>
        <row r="162">
          <cell r="B162">
            <v>2003742</v>
          </cell>
          <cell r="C162" t="str">
            <v>SICRO</v>
          </cell>
          <cell r="D162" t="str">
            <v>Caixa coletora de talvegue - CCT 08 - areia e brita comerciais</v>
          </cell>
          <cell r="E162" t="str">
            <v>un</v>
          </cell>
          <cell r="F162">
            <v>3796.7026000000005</v>
          </cell>
          <cell r="G162">
            <v>3796.7026000000005</v>
          </cell>
          <cell r="H162">
            <v>3796.7026000000005</v>
          </cell>
          <cell r="I162">
            <v>0</v>
          </cell>
          <cell r="J162">
            <v>3972.1521000000002</v>
          </cell>
          <cell r="K162">
            <v>3972.1521000000002</v>
          </cell>
          <cell r="L162">
            <v>3972.1521000000002</v>
          </cell>
          <cell r="W162" t="str">
            <v>M2034</v>
          </cell>
          <cell r="X162" t="str">
            <v>Solvente para tinta à base de resina acrílica - Caminhão carroceria 5 t</v>
          </cell>
          <cell r="Y162" t="str">
            <v>l</v>
          </cell>
          <cell r="Z162">
            <v>9.2573000000000008</v>
          </cell>
          <cell r="AA162">
            <v>0</v>
          </cell>
          <cell r="BC162" t="str">
            <v>M2034</v>
          </cell>
          <cell r="BD162" t="str">
            <v>Solvente para tinta à base de resina acrílica - Caminhão carroceria 5 t</v>
          </cell>
          <cell r="BE162" t="str">
            <v>l</v>
          </cell>
          <cell r="BF162">
            <v>10.447800000000001</v>
          </cell>
          <cell r="BG162">
            <v>0</v>
          </cell>
          <cell r="CC162">
            <v>0</v>
          </cell>
          <cell r="CD162" t="str">
            <v>Fornecimento de emulsão RR-1C</v>
          </cell>
          <cell r="CE162" t="str">
            <v>t</v>
          </cell>
          <cell r="CF162" t="str">
            <v>0,00045 t</v>
          </cell>
          <cell r="CG162">
            <v>8.9999999999999998E-4</v>
          </cell>
          <cell r="CH162">
            <v>1</v>
          </cell>
          <cell r="CI162" t="str">
            <v>CPU04</v>
          </cell>
          <cell r="CJ162">
            <v>2511.8507594331254</v>
          </cell>
          <cell r="CK162">
            <v>2.2606656834898127</v>
          </cell>
          <cell r="CL162" t="str">
            <v>CPU04-1</v>
          </cell>
          <cell r="CM162">
            <v>2535.6603093736671</v>
          </cell>
          <cell r="CN162">
            <v>2.2820942784363005</v>
          </cell>
          <cell r="DN162" t="str">
            <v>Agente de Cobrança</v>
          </cell>
          <cell r="DO162">
            <v>1086.95</v>
          </cell>
          <cell r="DP162">
            <v>1156.1500000000001</v>
          </cell>
          <cell r="DQ162">
            <v>1.0335248790636142</v>
          </cell>
          <cell r="DR162">
            <v>1123.3898672981954</v>
          </cell>
          <cell r="DS162">
            <v>1688.0714763295691</v>
          </cell>
        </row>
        <row r="163">
          <cell r="B163">
            <v>2003405</v>
          </cell>
          <cell r="C163" t="str">
            <v>SICRO</v>
          </cell>
          <cell r="D163" t="str">
            <v>Descida d'água de aterros em degraus - DAD 01 - areia e brita comerciais</v>
          </cell>
          <cell r="E163" t="str">
            <v>m</v>
          </cell>
          <cell r="F163">
            <v>119.29975320000003</v>
          </cell>
          <cell r="G163">
            <v>119.29975320000003</v>
          </cell>
          <cell r="H163">
            <v>119.29975320000003</v>
          </cell>
          <cell r="I163">
            <v>0</v>
          </cell>
          <cell r="J163">
            <v>127.12667380000001</v>
          </cell>
          <cell r="K163">
            <v>127.12667380000001</v>
          </cell>
          <cell r="L163">
            <v>127.12667380000001</v>
          </cell>
          <cell r="W163" t="str">
            <v>M2044</v>
          </cell>
          <cell r="X163" t="str">
            <v>Tinta para pré-marcação - Caminhão carroceria 5 t</v>
          </cell>
          <cell r="Y163" t="str">
            <v>l</v>
          </cell>
          <cell r="Z163">
            <v>17.777699999999999</v>
          </cell>
          <cell r="AA163">
            <v>0</v>
          </cell>
          <cell r="BC163" t="str">
            <v>M2044</v>
          </cell>
          <cell r="BD163" t="str">
            <v>Tinta para pré-marcação - Caminhão carroceria 5 t</v>
          </cell>
          <cell r="BE163" t="str">
            <v>l</v>
          </cell>
          <cell r="BF163">
            <v>17.843900000000001</v>
          </cell>
          <cell r="BG163">
            <v>0</v>
          </cell>
          <cell r="CC163">
            <v>0</v>
          </cell>
          <cell r="CD163" t="str">
            <v>Pintura de faixa - tinta base acrílica - espessura de 0,6 mm</v>
          </cell>
          <cell r="CE163" t="str">
            <v>m²</v>
          </cell>
          <cell r="CF163" t="str">
            <v>2 faixas cont. + 1 faixa não cont.</v>
          </cell>
          <cell r="CG163">
            <v>4.4871794871794872E-2</v>
          </cell>
          <cell r="CH163">
            <v>1</v>
          </cell>
          <cell r="CI163">
            <v>5213401</v>
          </cell>
          <cell r="CJ163">
            <v>20.390807290896916</v>
          </cell>
          <cell r="CK163">
            <v>1.2018158822830236</v>
          </cell>
          <cell r="CL163">
            <v>5213401</v>
          </cell>
          <cell r="CM163">
            <v>22.71825438768407</v>
          </cell>
          <cell r="CN163">
            <v>1.3389935254330845</v>
          </cell>
          <cell r="DN163" t="str">
            <v>Agente de Cobrança - Free Flow</v>
          </cell>
          <cell r="DO163">
            <v>1086.95</v>
          </cell>
          <cell r="DP163">
            <v>1156.1500000000001</v>
          </cell>
          <cell r="DQ163">
            <v>1.0335248790636142</v>
          </cell>
          <cell r="DR163">
            <v>1123.3898672981954</v>
          </cell>
          <cell r="DS163">
            <v>1688.0714763295691</v>
          </cell>
        </row>
        <row r="164">
          <cell r="B164">
            <v>2003393</v>
          </cell>
          <cell r="C164" t="str">
            <v>SICRO</v>
          </cell>
          <cell r="D164" t="str">
            <v>Descida d'água de aterros tipo rápido - DAR 03 - areia e brita comerciais</v>
          </cell>
          <cell r="E164" t="str">
            <v>m</v>
          </cell>
          <cell r="F164">
            <v>171.269924</v>
          </cell>
          <cell r="G164">
            <v>171.269924</v>
          </cell>
          <cell r="H164">
            <v>171.269924</v>
          </cell>
          <cell r="I164">
            <v>0</v>
          </cell>
          <cell r="J164">
            <v>179.66503960000003</v>
          </cell>
          <cell r="K164">
            <v>179.66503960000003</v>
          </cell>
          <cell r="L164">
            <v>179.66503960000003</v>
          </cell>
          <cell r="W164" t="str">
            <v>M2027</v>
          </cell>
          <cell r="X164" t="str">
            <v>Tinta refletiva acrílica - Caminhão carroceria 5 t</v>
          </cell>
          <cell r="Y164" t="str">
            <v>l</v>
          </cell>
          <cell r="Z164">
            <v>27.292000000000002</v>
          </cell>
          <cell r="AA164">
            <v>0</v>
          </cell>
          <cell r="BC164" t="str">
            <v>M2027</v>
          </cell>
          <cell r="BD164" t="str">
            <v>Tinta refletiva acrílica - Caminhão carroceria 5 t</v>
          </cell>
          <cell r="BE164" t="str">
            <v>l</v>
          </cell>
          <cell r="BF164">
            <v>23.677499999999998</v>
          </cell>
          <cell r="BG164">
            <v>0</v>
          </cell>
          <cell r="CC164">
            <v>0</v>
          </cell>
          <cell r="CD164" t="str">
            <v>Tacha refletiva monodirecional - fornecimento e colocação</v>
          </cell>
          <cell r="CE164" t="str">
            <v>un</v>
          </cell>
          <cell r="CF164" t="str">
            <v>3 / 16m / 7,8m largura</v>
          </cell>
          <cell r="CG164">
            <v>2.403846153846154E-2</v>
          </cell>
          <cell r="CH164">
            <v>1</v>
          </cell>
          <cell r="CI164">
            <v>5213359</v>
          </cell>
          <cell r="CJ164">
            <v>12.189996472111552</v>
          </cell>
          <cell r="CK164">
            <v>0.38489327803169532</v>
          </cell>
          <cell r="CL164">
            <v>5213359</v>
          </cell>
          <cell r="CM164">
            <v>14.739324009960159</v>
          </cell>
          <cell r="CN164">
            <v>0.46538706940102564</v>
          </cell>
          <cell r="DN164" t="str">
            <v>Sistema de Atendimento aos Usuários</v>
          </cell>
          <cell r="DO164">
            <v>0</v>
          </cell>
          <cell r="DP164">
            <v>0</v>
          </cell>
          <cell r="DQ164">
            <v>0</v>
          </cell>
          <cell r="DR164">
            <v>0</v>
          </cell>
          <cell r="DS164">
            <v>0</v>
          </cell>
        </row>
        <row r="165">
          <cell r="B165">
            <v>2003397</v>
          </cell>
          <cell r="C165" t="str">
            <v>SICRO</v>
          </cell>
          <cell r="D165" t="str">
            <v>Descida d'água de cortes em degraus - DCD 01 - areia e brita comerciais</v>
          </cell>
          <cell r="E165" t="str">
            <v>m</v>
          </cell>
          <cell r="F165">
            <v>375.0992268</v>
          </cell>
          <cell r="G165">
            <v>375.0992268</v>
          </cell>
          <cell r="H165">
            <v>375.0992268</v>
          </cell>
          <cell r="I165">
            <v>0</v>
          </cell>
          <cell r="J165">
            <v>394.96644620000001</v>
          </cell>
          <cell r="K165">
            <v>394.96644620000001</v>
          </cell>
          <cell r="L165">
            <v>394.96644620000001</v>
          </cell>
          <cell r="W165" t="str">
            <v>E9521</v>
          </cell>
          <cell r="X165" t="str">
            <v>Grupo gerador - 2,5/3 kVA</v>
          </cell>
          <cell r="Y165" t="str">
            <v>h</v>
          </cell>
          <cell r="Z165">
            <v>2.4683999999999999</v>
          </cell>
          <cell r="AA165">
            <v>0.20219999999999999</v>
          </cell>
          <cell r="BC165" t="str">
            <v>E9521</v>
          </cell>
          <cell r="BD165" t="str">
            <v>Grupo gerador - 2,5/3 kVA</v>
          </cell>
          <cell r="BE165" t="str">
            <v>h</v>
          </cell>
          <cell r="BF165">
            <v>2.0139999999999998</v>
          </cell>
          <cell r="BG165">
            <v>0.20130000000000001</v>
          </cell>
          <cell r="CC165">
            <v>0</v>
          </cell>
          <cell r="CD165" t="str">
            <v>Tacha refletiva metálica com dois pinos - bidirecional - fornecimento e colocação</v>
          </cell>
          <cell r="CE165" t="str">
            <v>un</v>
          </cell>
          <cell r="CF165" t="str">
            <v>não aplicada</v>
          </cell>
          <cell r="CG165">
            <v>0</v>
          </cell>
          <cell r="CH165">
            <v>1</v>
          </cell>
          <cell r="CI165">
            <v>5213395</v>
          </cell>
          <cell r="CJ165">
            <v>32.534966247709477</v>
          </cell>
          <cell r="CK165">
            <v>0</v>
          </cell>
          <cell r="CL165">
            <v>5213395</v>
          </cell>
          <cell r="CM165">
            <v>34.530034902548728</v>
          </cell>
          <cell r="CN165">
            <v>0</v>
          </cell>
          <cell r="DN165" t="str">
            <v>Médico Regulador</v>
          </cell>
          <cell r="DO165">
            <v>6138.43</v>
          </cell>
          <cell r="DP165">
            <v>6809.93</v>
          </cell>
          <cell r="DQ165">
            <v>1.0335248790636142</v>
          </cell>
          <cell r="DR165">
            <v>6344.2201233904616</v>
          </cell>
          <cell r="DS165">
            <v>5625.0995724487466</v>
          </cell>
        </row>
        <row r="166">
          <cell r="B166">
            <v>2003399</v>
          </cell>
          <cell r="C166" t="str">
            <v>SICRO</v>
          </cell>
          <cell r="D166" t="str">
            <v>Descida d'água de cortes em degraus - DCD 02 - areia e brita comerciais</v>
          </cell>
          <cell r="E166" t="str">
            <v>m</v>
          </cell>
          <cell r="F166">
            <v>462.40742680000005</v>
          </cell>
          <cell r="G166">
            <v>462.40742680000005</v>
          </cell>
          <cell r="H166">
            <v>462.40742680000005</v>
          </cell>
          <cell r="I166">
            <v>0</v>
          </cell>
          <cell r="J166">
            <v>485.65704619999997</v>
          </cell>
          <cell r="K166">
            <v>485.65704619999997</v>
          </cell>
          <cell r="L166">
            <v>485.65704619999997</v>
          </cell>
          <cell r="W166" t="str">
            <v>E9675</v>
          </cell>
          <cell r="X166" t="str">
            <v>Martelete perfurador/rompedor elétrico - 1,5 kW</v>
          </cell>
          <cell r="Y166" t="str">
            <v>h</v>
          </cell>
          <cell r="Z166">
            <v>0.58960000000000001</v>
          </cell>
          <cell r="AA166">
            <v>0.3246</v>
          </cell>
          <cell r="BC166" t="str">
            <v>E9675</v>
          </cell>
          <cell r="BD166" t="str">
            <v>Martelete perfurador/rompedor elétrico - 1,5 kW</v>
          </cell>
          <cell r="BE166" t="str">
            <v>h</v>
          </cell>
          <cell r="BF166">
            <v>0.58850000000000002</v>
          </cell>
          <cell r="BG166">
            <v>0.32400000000000001</v>
          </cell>
          <cell r="CC166" t="str">
            <v>F5R5</v>
          </cell>
          <cell r="CD166" t="str">
            <v xml:space="preserve"> (5,0cm) FRESAGEM +(5,0cm) CBUQ C/ POLÍMERO</v>
          </cell>
          <cell r="CE166">
            <v>0</v>
          </cell>
          <cell r="CF166">
            <v>0</v>
          </cell>
          <cell r="CG166">
            <v>0</v>
          </cell>
          <cell r="CH166">
            <v>0</v>
          </cell>
          <cell r="CI166">
            <v>0</v>
          </cell>
          <cell r="CJ166">
            <v>0</v>
          </cell>
          <cell r="CK166">
            <v>58.963287045197269</v>
          </cell>
          <cell r="CL166">
            <v>0</v>
          </cell>
          <cell r="CM166">
            <v>0</v>
          </cell>
          <cell r="CN166">
            <v>62.061060232433604</v>
          </cell>
          <cell r="DN166" t="str">
            <v xml:space="preserve">Atendente de SAU </v>
          </cell>
          <cell r="DO166">
            <v>1208.1199999999999</v>
          </cell>
          <cell r="DP166">
            <v>1347.24</v>
          </cell>
          <cell r="DQ166">
            <v>1.0335248790636142</v>
          </cell>
          <cell r="DR166">
            <v>1248.6220768943335</v>
          </cell>
          <cell r="DS166">
            <v>1782.5090855860169</v>
          </cell>
        </row>
        <row r="167">
          <cell r="B167">
            <v>2003449</v>
          </cell>
          <cell r="C167" t="str">
            <v>SICRO</v>
          </cell>
          <cell r="D167" t="str">
            <v>Dissipador de energia - DEB 01 - areia e pedra de mão comerciais</v>
          </cell>
          <cell r="E167" t="str">
            <v>un</v>
          </cell>
          <cell r="F167">
            <v>350.14110300000004</v>
          </cell>
          <cell r="G167">
            <v>350.14110300000004</v>
          </cell>
          <cell r="H167">
            <v>350.14110300000004</v>
          </cell>
          <cell r="I167">
            <v>0</v>
          </cell>
          <cell r="J167">
            <v>371.81185500000004</v>
          </cell>
          <cell r="K167">
            <v>371.81185500000004</v>
          </cell>
          <cell r="L167">
            <v>371.81185500000004</v>
          </cell>
          <cell r="W167" t="str">
            <v>P9830</v>
          </cell>
          <cell r="X167" t="str">
            <v>Montador</v>
          </cell>
          <cell r="Y167" t="str">
            <v>h</v>
          </cell>
          <cell r="Z167">
            <v>28.348600000000001</v>
          </cell>
          <cell r="AA167">
            <v>0</v>
          </cell>
          <cell r="BC167" t="str">
            <v>P9830</v>
          </cell>
          <cell r="BD167" t="str">
            <v>Montador</v>
          </cell>
          <cell r="BE167" t="str">
            <v>h</v>
          </cell>
          <cell r="BF167">
            <v>26.730599999999999</v>
          </cell>
          <cell r="BG167">
            <v>0</v>
          </cell>
          <cell r="CC167" t="str">
            <v>(m²)</v>
          </cell>
          <cell r="CD167" t="str">
            <v>Fresagem descontínua de revestimento betuminoso</v>
          </cell>
          <cell r="CE167" t="str">
            <v>m³</v>
          </cell>
          <cell r="CF167">
            <v>5</v>
          </cell>
          <cell r="CG167">
            <v>0.05</v>
          </cell>
          <cell r="CH167">
            <v>1</v>
          </cell>
          <cell r="CI167">
            <v>4011480</v>
          </cell>
          <cell r="CJ167">
            <v>50.02322121102204</v>
          </cell>
          <cell r="CK167">
            <v>3.2852750530338724</v>
          </cell>
          <cell r="CL167">
            <v>4011480</v>
          </cell>
          <cell r="CM167">
            <v>50.377443150593948</v>
          </cell>
          <cell r="CN167">
            <v>3.3085385789152575</v>
          </cell>
          <cell r="DN167" t="str">
            <v>Motociclista Socorrista</v>
          </cell>
          <cell r="DO167">
            <v>1569.41</v>
          </cell>
          <cell r="DP167">
            <v>1923.46</v>
          </cell>
          <cell r="DQ167">
            <v>1.0335248790636142</v>
          </cell>
          <cell r="DR167">
            <v>1622.0242804512268</v>
          </cell>
          <cell r="DS167">
            <v>2064.0916872882699</v>
          </cell>
        </row>
        <row r="168">
          <cell r="B168">
            <v>2003455</v>
          </cell>
          <cell r="C168" t="str">
            <v>SICRO</v>
          </cell>
          <cell r="D168" t="str">
            <v>Dissipador de energia - DEB 04 - areia e pedra de mão comerciais</v>
          </cell>
          <cell r="E168" t="str">
            <v>un</v>
          </cell>
          <cell r="F168">
            <v>1607.4552822000003</v>
          </cell>
          <cell r="G168">
            <v>1607.4552822000003</v>
          </cell>
          <cell r="H168">
            <v>1607.4552822000003</v>
          </cell>
          <cell r="I168">
            <v>0</v>
          </cell>
          <cell r="J168">
            <v>1708.0679610800003</v>
          </cell>
          <cell r="K168">
            <v>1708.0679610800003</v>
          </cell>
          <cell r="L168">
            <v>1708.0679610800003</v>
          </cell>
          <cell r="W168" t="str">
            <v>M2041</v>
          </cell>
          <cell r="X168" t="str">
            <v>Cola poliester</v>
          </cell>
          <cell r="Y168" t="str">
            <v>kg</v>
          </cell>
          <cell r="Z168">
            <v>18.3</v>
          </cell>
          <cell r="AA168">
            <v>0</v>
          </cell>
          <cell r="BC168" t="str">
            <v>M2041</v>
          </cell>
          <cell r="BD168" t="str">
            <v>Cola poliester</v>
          </cell>
          <cell r="BE168" t="str">
            <v>kg</v>
          </cell>
          <cell r="BF168">
            <v>18.3</v>
          </cell>
          <cell r="BG168">
            <v>0</v>
          </cell>
          <cell r="CC168">
            <v>0</v>
          </cell>
          <cell r="CD168" t="str">
            <v>Carga, manobra e descarga de areia, brita, pedra de mão ou solos em caminhão basculante de 10 m³ - carga com carregadeira e descarga livre</v>
          </cell>
          <cell r="CE168" t="str">
            <v>t</v>
          </cell>
          <cell r="CF168" t="str">
            <v>2,4t/m³</v>
          </cell>
          <cell r="CG168">
            <v>0.12</v>
          </cell>
          <cell r="CH168">
            <v>1</v>
          </cell>
          <cell r="CI168">
            <v>5915407</v>
          </cell>
          <cell r="CJ168">
            <v>1.6993770350671593</v>
          </cell>
          <cell r="CK168">
            <v>0.26785580826728561</v>
          </cell>
          <cell r="CL168">
            <v>5914352</v>
          </cell>
          <cell r="CM168">
            <v>9.5803793626707137</v>
          </cell>
          <cell r="CN168">
            <v>1.5100593951441579</v>
          </cell>
          <cell r="DN168" t="str">
            <v>Serviço de Socorro Médico</v>
          </cell>
          <cell r="DO168">
            <v>0</v>
          </cell>
          <cell r="DP168">
            <v>0</v>
          </cell>
          <cell r="DQ168">
            <v>0</v>
          </cell>
          <cell r="DR168">
            <v>0</v>
          </cell>
          <cell r="DS168">
            <v>0</v>
          </cell>
        </row>
        <row r="169">
          <cell r="B169">
            <v>2003457</v>
          </cell>
          <cell r="C169" t="str">
            <v>SICRO</v>
          </cell>
          <cell r="D169" t="str">
            <v>Dissipador de energia - DEB 05 - areia e pedra de mão comerciais</v>
          </cell>
          <cell r="E169" t="str">
            <v>un</v>
          </cell>
          <cell r="F169">
            <v>2159.4629010000003</v>
          </cell>
          <cell r="G169">
            <v>2159.4629010000003</v>
          </cell>
          <cell r="H169">
            <v>2159.4629010000003</v>
          </cell>
          <cell r="I169">
            <v>0</v>
          </cell>
          <cell r="J169">
            <v>2296.8795850000001</v>
          </cell>
          <cell r="K169">
            <v>2296.8795850000001</v>
          </cell>
          <cell r="L169">
            <v>2296.8795850000001</v>
          </cell>
          <cell r="W169" t="str">
            <v>M2083</v>
          </cell>
          <cell r="X169" t="str">
            <v>Tacha refletiva monodirecional</v>
          </cell>
          <cell r="Y169" t="str">
            <v>un</v>
          </cell>
          <cell r="Z169">
            <v>10.1</v>
          </cell>
          <cell r="AA169">
            <v>0</v>
          </cell>
          <cell r="BC169" t="str">
            <v>M2083</v>
          </cell>
          <cell r="BD169" t="str">
            <v>Tacha refletiva monodirecional</v>
          </cell>
          <cell r="BE169" t="str">
            <v>un</v>
          </cell>
          <cell r="BF169">
            <v>7.63</v>
          </cell>
          <cell r="BG169">
            <v>0</v>
          </cell>
          <cell r="CC169">
            <v>0</v>
          </cell>
          <cell r="CD169" t="str">
            <v>Transporte com caminhão basculante de 12m³ - rodovia em revestimento primário</v>
          </cell>
          <cell r="CE169" t="str">
            <v>tkm</v>
          </cell>
          <cell r="CF169" t="str">
            <v>DMT = 10km</v>
          </cell>
          <cell r="CG169">
            <v>1.2</v>
          </cell>
          <cell r="CH169">
            <v>1</v>
          </cell>
          <cell r="CI169">
            <v>5914335</v>
          </cell>
          <cell r="CJ169">
            <v>0.49810144567068276</v>
          </cell>
          <cell r="CK169">
            <v>0.78510749866613005</v>
          </cell>
          <cell r="CL169">
            <v>5914335</v>
          </cell>
          <cell r="CM169">
            <v>0.49824066306827308</v>
          </cell>
          <cell r="CN169">
            <v>0.78532693312821189</v>
          </cell>
          <cell r="DN169" t="str">
            <v>Ambulância Tipo C</v>
          </cell>
          <cell r="DO169">
            <v>0</v>
          </cell>
          <cell r="DP169">
            <v>0</v>
          </cell>
          <cell r="DQ169">
            <v>0</v>
          </cell>
          <cell r="DR169">
            <v>0</v>
          </cell>
          <cell r="DS169">
            <v>0</v>
          </cell>
        </row>
        <row r="170">
          <cell r="B170">
            <v>2003441</v>
          </cell>
          <cell r="C170" t="str">
            <v>SICRO</v>
          </cell>
          <cell r="D170" t="str">
            <v>Dissipador de energia - DES 01 - areia e pedra de mão comerciais</v>
          </cell>
          <cell r="E170" t="str">
            <v>un</v>
          </cell>
          <cell r="F170">
            <v>142.1823</v>
          </cell>
          <cell r="G170">
            <v>142.1823</v>
          </cell>
          <cell r="H170">
            <v>142.1823</v>
          </cell>
          <cell r="I170">
            <v>0</v>
          </cell>
          <cell r="J170">
            <v>152.5128</v>
          </cell>
          <cell r="K170">
            <v>152.5128</v>
          </cell>
          <cell r="L170">
            <v>152.5128</v>
          </cell>
          <cell r="W170" t="str">
            <v>M2083</v>
          </cell>
          <cell r="X170" t="str">
            <v>Tacha refletiva monodirecional - Caminhão carroceria 5 t</v>
          </cell>
          <cell r="Y170" t="str">
            <v>un</v>
          </cell>
          <cell r="Z170">
            <v>10.1</v>
          </cell>
          <cell r="AA170">
            <v>0</v>
          </cell>
          <cell r="BC170" t="str">
            <v>M2083</v>
          </cell>
          <cell r="BD170" t="str">
            <v>Tacha refletiva monodirecional - Caminhão carroceria 5 t</v>
          </cell>
          <cell r="BE170" t="str">
            <v>un</v>
          </cell>
          <cell r="BF170">
            <v>7.63</v>
          </cell>
          <cell r="BG170">
            <v>0</v>
          </cell>
          <cell r="CC170">
            <v>0</v>
          </cell>
          <cell r="CD170" t="str">
            <v>Concreto asfáltico com asfalto polímero - faixa C - areia e brita comerciais</v>
          </cell>
          <cell r="CE170" t="str">
            <v>t</v>
          </cell>
          <cell r="CF170">
            <v>5</v>
          </cell>
          <cell r="CG170">
            <v>0.12</v>
          </cell>
          <cell r="CH170">
            <v>1</v>
          </cell>
          <cell r="CI170">
            <v>4011466</v>
          </cell>
          <cell r="CJ170">
            <v>130.81939260452867</v>
          </cell>
          <cell r="CK170">
            <v>20.619752662325809</v>
          </cell>
          <cell r="CL170">
            <v>4011466</v>
          </cell>
          <cell r="CM170">
            <v>135.10461380032868</v>
          </cell>
          <cell r="CN170">
            <v>21.295189227207803</v>
          </cell>
          <cell r="DN170" t="str">
            <v>Motorista de Ambulância</v>
          </cell>
          <cell r="DO170">
            <v>1569.41</v>
          </cell>
          <cell r="DP170">
            <v>1923.46</v>
          </cell>
          <cell r="DQ170">
            <v>1.0335248790636142</v>
          </cell>
          <cell r="DR170">
            <v>1622.0242804512268</v>
          </cell>
          <cell r="DS170">
            <v>2064.0916872882699</v>
          </cell>
        </row>
        <row r="171">
          <cell r="B171">
            <v>2003443</v>
          </cell>
          <cell r="C171" t="str">
            <v>SICRO</v>
          </cell>
          <cell r="D171" t="str">
            <v>Dissipador de energia - DES 02 - areia e pedra de mão comerciais</v>
          </cell>
          <cell r="E171" t="str">
            <v>un</v>
          </cell>
          <cell r="F171">
            <v>168.74309999999997</v>
          </cell>
          <cell r="G171">
            <v>168.74309999999997</v>
          </cell>
          <cell r="H171">
            <v>168.74309999999997</v>
          </cell>
          <cell r="I171">
            <v>0</v>
          </cell>
          <cell r="J171">
            <v>181.00800000000001</v>
          </cell>
          <cell r="K171">
            <v>181.00800000000001</v>
          </cell>
          <cell r="L171">
            <v>181.00800000000001</v>
          </cell>
          <cell r="W171" t="str">
            <v>M1567</v>
          </cell>
          <cell r="X171" t="str">
            <v>Tacha refletiva metálica bidirecional com dois pinos</v>
          </cell>
          <cell r="Y171" t="str">
            <v>un</v>
          </cell>
          <cell r="Z171">
            <v>27.351400000000002</v>
          </cell>
          <cell r="AA171">
            <v>0</v>
          </cell>
          <cell r="BC171" t="str">
            <v>M1567</v>
          </cell>
          <cell r="BD171" t="str">
            <v>Tacha refletiva metálica bidirecional com dois pinos</v>
          </cell>
          <cell r="BE171" t="str">
            <v>un</v>
          </cell>
          <cell r="BF171">
            <v>25.462499999999999</v>
          </cell>
          <cell r="BG171">
            <v>0</v>
          </cell>
          <cell r="CC171">
            <v>0</v>
          </cell>
          <cell r="CD171" t="str">
            <v>Fornecimento de Material Betuminoso c/ polímero SBS</v>
          </cell>
          <cell r="CE171" t="str">
            <v>t</v>
          </cell>
          <cell r="CF171" t="str">
            <v>0,057732 t</v>
          </cell>
          <cell r="CG171">
            <v>6.9278399999999993E-3</v>
          </cell>
          <cell r="CH171">
            <v>1</v>
          </cell>
          <cell r="CI171" t="str">
            <v>CPU10</v>
          </cell>
          <cell r="CJ171">
            <v>4481.4349761078774</v>
          </cell>
          <cell r="CK171">
            <v>31.046664484879194</v>
          </cell>
          <cell r="CL171" t="str">
            <v>CPU10-1</v>
          </cell>
          <cell r="CM171">
            <v>4614.4401264709131</v>
          </cell>
          <cell r="CN171">
            <v>31.968102885770247</v>
          </cell>
          <cell r="DN171" t="str">
            <v>Resgatista</v>
          </cell>
          <cell r="DO171">
            <v>1569.41</v>
          </cell>
          <cell r="DP171">
            <v>1923.46</v>
          </cell>
          <cell r="DQ171">
            <v>1.0335248790636142</v>
          </cell>
          <cell r="DR171">
            <v>1622.0242804512268</v>
          </cell>
          <cell r="DS171">
            <v>2064.0916872882699</v>
          </cell>
        </row>
        <row r="172">
          <cell r="B172">
            <v>2003447</v>
          </cell>
          <cell r="C172" t="str">
            <v>SICRO</v>
          </cell>
          <cell r="D172" t="str">
            <v>Dissipador de energia - DES 04 - areia e pedra de mão comerciais</v>
          </cell>
          <cell r="E172" t="str">
            <v>un</v>
          </cell>
          <cell r="F172">
            <v>248.4255</v>
          </cell>
          <cell r="G172">
            <v>248.4255</v>
          </cell>
          <cell r="H172">
            <v>248.4255</v>
          </cell>
          <cell r="I172">
            <v>0</v>
          </cell>
          <cell r="J172">
            <v>266.49360000000001</v>
          </cell>
          <cell r="K172">
            <v>266.49360000000001</v>
          </cell>
          <cell r="L172">
            <v>266.49360000000001</v>
          </cell>
          <cell r="W172" t="str">
            <v>M1567</v>
          </cell>
          <cell r="X172" t="str">
            <v>Tacha refletiva metálica bidirecional com dois pinos - Caminhão carroceria 5 t</v>
          </cell>
          <cell r="Y172" t="str">
            <v>un</v>
          </cell>
          <cell r="Z172">
            <v>27.351400000000002</v>
          </cell>
          <cell r="AA172">
            <v>0</v>
          </cell>
          <cell r="BC172" t="str">
            <v>M1567</v>
          </cell>
          <cell r="BD172" t="str">
            <v>Tacha refletiva metálica bidirecional com dois pinos - Caminhão carroceria 5 t</v>
          </cell>
          <cell r="BE172" t="str">
            <v>un</v>
          </cell>
          <cell r="BF172">
            <v>25.462499999999999</v>
          </cell>
          <cell r="BG172">
            <v>0</v>
          </cell>
          <cell r="CC172">
            <v>0</v>
          </cell>
          <cell r="CD172" t="str">
            <v>Pintura de ligação</v>
          </cell>
          <cell r="CE172" t="str">
            <v>m²</v>
          </cell>
          <cell r="CF172">
            <v>1</v>
          </cell>
          <cell r="CG172">
            <v>1</v>
          </cell>
          <cell r="CH172">
            <v>1</v>
          </cell>
          <cell r="CI172">
            <v>4011353</v>
          </cell>
          <cell r="CJ172">
            <v>0.18392808219669335</v>
          </cell>
          <cell r="CK172">
            <v>0.24158953596535671</v>
          </cell>
          <cell r="CL172">
            <v>4011353</v>
          </cell>
          <cell r="CM172">
            <v>0.18912484066666665</v>
          </cell>
          <cell r="CN172">
            <v>0.24841547821566662</v>
          </cell>
          <cell r="DN172" t="str">
            <v>Ambulância Tipo D</v>
          </cell>
          <cell r="DO172">
            <v>0</v>
          </cell>
          <cell r="DP172">
            <v>0</v>
          </cell>
          <cell r="DQ172">
            <v>0</v>
          </cell>
          <cell r="DR172">
            <v>0</v>
          </cell>
          <cell r="DS172">
            <v>0</v>
          </cell>
        </row>
        <row r="173">
          <cell r="B173">
            <v>2007971</v>
          </cell>
          <cell r="C173" t="str">
            <v>SICRO</v>
          </cell>
          <cell r="D173" t="str">
            <v>Dreno de PVC D = 100 mm - fornecimento e instalação</v>
          </cell>
          <cell r="E173" t="str">
            <v>m</v>
          </cell>
          <cell r="F173">
            <v>63.222848599999992</v>
          </cell>
          <cell r="G173">
            <v>63.222848599999992</v>
          </cell>
          <cell r="H173">
            <v>63.222848599999992</v>
          </cell>
          <cell r="I173">
            <v>0</v>
          </cell>
          <cell r="J173">
            <v>82.3752712</v>
          </cell>
          <cell r="K173">
            <v>82.3752712</v>
          </cell>
          <cell r="L173">
            <v>82.3752712</v>
          </cell>
          <cell r="W173" t="str">
            <v>E9605</v>
          </cell>
          <cell r="X173" t="str">
            <v>Caminhão tanque com capacidade de 6.000 l - 136 kW</v>
          </cell>
          <cell r="Y173" t="str">
            <v>h</v>
          </cell>
          <cell r="Z173">
            <v>136.82210000000001</v>
          </cell>
          <cell r="AA173">
            <v>46.859099999999998</v>
          </cell>
          <cell r="BC173" t="str">
            <v>E9605</v>
          </cell>
          <cell r="BD173" t="str">
            <v>Caminhão tanque com capacidade de 6.000 l - 136 kW</v>
          </cell>
          <cell r="BE173" t="str">
            <v>h</v>
          </cell>
          <cell r="BF173">
            <v>136.3845</v>
          </cell>
          <cell r="BG173">
            <v>47.618099999999998</v>
          </cell>
          <cell r="CC173">
            <v>0</v>
          </cell>
          <cell r="CD173" t="str">
            <v>Fornecimento de emulsão RR-1C</v>
          </cell>
          <cell r="CE173" t="str">
            <v>t</v>
          </cell>
          <cell r="CF173" t="str">
            <v>0,00045 t</v>
          </cell>
          <cell r="CG173">
            <v>4.4999999999999999E-4</v>
          </cell>
          <cell r="CH173">
            <v>1</v>
          </cell>
          <cell r="CI173" t="str">
            <v>CPU04</v>
          </cell>
          <cell r="CJ173">
            <v>2511.8507594331254</v>
          </cell>
          <cell r="CK173">
            <v>1.1303328417449063</v>
          </cell>
          <cell r="CL173" t="str">
            <v>CPU04-1</v>
          </cell>
          <cell r="CM173">
            <v>2535.6603093736671</v>
          </cell>
          <cell r="CN173">
            <v>1.1410471392181503</v>
          </cell>
          <cell r="DN173" t="str">
            <v>Motorista de Ambulância</v>
          </cell>
          <cell r="DO173">
            <v>1569.41</v>
          </cell>
          <cell r="DP173">
            <v>1923.46</v>
          </cell>
          <cell r="DQ173">
            <v>1.0335248790636142</v>
          </cell>
          <cell r="DR173">
            <v>1622.0242804512268</v>
          </cell>
          <cell r="DS173">
            <v>2064.0916872882699</v>
          </cell>
        </row>
        <row r="174">
          <cell r="B174">
            <v>2003565</v>
          </cell>
          <cell r="C174" t="str">
            <v>SICRO</v>
          </cell>
          <cell r="D174" t="str">
            <v>Dreno longitudinal profundo para corte em solo - DPS 05 - dreno cego - brita comercial</v>
          </cell>
          <cell r="E174" t="str">
            <v>m</v>
          </cell>
          <cell r="F174">
            <v>85.435622500000008</v>
          </cell>
          <cell r="G174">
            <v>85.435622500000008</v>
          </cell>
          <cell r="H174">
            <v>85.435622500000008</v>
          </cell>
          <cell r="I174">
            <v>0</v>
          </cell>
          <cell r="J174">
            <v>98.170743999999999</v>
          </cell>
          <cell r="K174">
            <v>98.170743999999999</v>
          </cell>
          <cell r="L174">
            <v>98.170743999999999</v>
          </cell>
          <cell r="W174">
            <v>4413995</v>
          </cell>
          <cell r="X174" t="str">
            <v xml:space="preserve">Obtenção de grama para replantio </v>
          </cell>
          <cell r="Y174" t="str">
            <v>m²</v>
          </cell>
          <cell r="Z174">
            <v>2.59</v>
          </cell>
          <cell r="AA174">
            <v>0</v>
          </cell>
          <cell r="BC174">
            <v>4413995</v>
          </cell>
          <cell r="BD174" t="str">
            <v xml:space="preserve">Obtenção de grama para replantio </v>
          </cell>
          <cell r="BE174" t="str">
            <v>m²</v>
          </cell>
          <cell r="BF174">
            <v>2.46</v>
          </cell>
          <cell r="BG174">
            <v>0</v>
          </cell>
          <cell r="CC174">
            <v>0</v>
          </cell>
          <cell r="CD174" t="str">
            <v>Pintura de faixa - tinta base acrílica - espessura de 0,6 mm</v>
          </cell>
          <cell r="CE174" t="str">
            <v>m²</v>
          </cell>
          <cell r="CF174" t="str">
            <v>2 faixas cont. + 1 faixa não cont.</v>
          </cell>
          <cell r="CG174">
            <v>4.4871794871794872E-2</v>
          </cell>
          <cell r="CH174">
            <v>1</v>
          </cell>
          <cell r="CI174">
            <v>5213401</v>
          </cell>
          <cell r="CJ174">
            <v>20.390807290896916</v>
          </cell>
          <cell r="CK174">
            <v>1.2018158822830236</v>
          </cell>
          <cell r="CL174">
            <v>5213401</v>
          </cell>
          <cell r="CM174">
            <v>22.71825438768407</v>
          </cell>
          <cell r="CN174">
            <v>1.3389935254330845</v>
          </cell>
          <cell r="DN174" t="str">
            <v>Médico</v>
          </cell>
          <cell r="DO174">
            <v>6138.43</v>
          </cell>
          <cell r="DP174">
            <v>6809.93</v>
          </cell>
          <cell r="DQ174">
            <v>1.0335248790636142</v>
          </cell>
          <cell r="DR174">
            <v>6344.2201233904616</v>
          </cell>
          <cell r="DS174">
            <v>5625.0995724487466</v>
          </cell>
        </row>
        <row r="175">
          <cell r="B175">
            <v>2003564</v>
          </cell>
          <cell r="C175" t="str">
            <v>SICRO</v>
          </cell>
          <cell r="D175" t="str">
            <v>Dreno longitudinal profundo para corte em solo - DPS 05 - dreno cego - brita produzida</v>
          </cell>
          <cell r="E175" t="str">
            <v>m</v>
          </cell>
          <cell r="F175">
            <v>81.595482530649988</v>
          </cell>
          <cell r="G175">
            <v>81.595482530649988</v>
          </cell>
          <cell r="H175">
            <v>81.595482530649988</v>
          </cell>
          <cell r="I175">
            <v>0</v>
          </cell>
          <cell r="J175">
            <v>83.250592328166661</v>
          </cell>
          <cell r="K175">
            <v>83.250592328166661</v>
          </cell>
          <cell r="L175">
            <v>83.250592328166661</v>
          </cell>
          <cell r="W175">
            <v>4413995</v>
          </cell>
          <cell r="X175" t="str">
            <v>Obtenção de grama para replantio  - Caminhão carroceria 15 t</v>
          </cell>
          <cell r="Y175" t="str">
            <v>m²</v>
          </cell>
          <cell r="Z175">
            <v>2.59</v>
          </cell>
          <cell r="AA175">
            <v>0</v>
          </cell>
          <cell r="BC175">
            <v>4413995</v>
          </cell>
          <cell r="BD175" t="str">
            <v>Obtenção de grama para replantio  - Caminhão carroceria 15 t</v>
          </cell>
          <cell r="BE175" t="str">
            <v>m²</v>
          </cell>
          <cell r="BF175">
            <v>2.46</v>
          </cell>
          <cell r="BG175">
            <v>0</v>
          </cell>
          <cell r="CC175">
            <v>0</v>
          </cell>
          <cell r="CD175" t="str">
            <v>Tacha refletiva monodirecional - fornecimento e colocação</v>
          </cell>
          <cell r="CE175" t="str">
            <v>un</v>
          </cell>
          <cell r="CF175" t="str">
            <v>3 / 16m / 7,8m largura</v>
          </cell>
          <cell r="CG175">
            <v>2.403846153846154E-2</v>
          </cell>
          <cell r="CH175">
            <v>1</v>
          </cell>
          <cell r="CI175">
            <v>5213359</v>
          </cell>
          <cell r="CJ175">
            <v>12.189996472111552</v>
          </cell>
          <cell r="CK175">
            <v>0.38489327803169532</v>
          </cell>
          <cell r="CL175">
            <v>5213359</v>
          </cell>
          <cell r="CM175">
            <v>14.739324009960159</v>
          </cell>
          <cell r="CN175">
            <v>0.46538706940102564</v>
          </cell>
          <cell r="DN175" t="str">
            <v>Enfermeiro</v>
          </cell>
          <cell r="DO175">
            <v>3151.51</v>
          </cell>
          <cell r="DP175">
            <v>3729.24</v>
          </cell>
          <cell r="DQ175">
            <v>1.0335248790636142</v>
          </cell>
          <cell r="DR175">
            <v>3257.163991617771</v>
          </cell>
          <cell r="DS175">
            <v>3297.150543478961</v>
          </cell>
        </row>
        <row r="176">
          <cell r="B176">
            <v>2003607</v>
          </cell>
          <cell r="C176" t="str">
            <v>SICRO</v>
          </cell>
          <cell r="D176" t="str">
            <v>Dreno sub-superficial - DSS 02 - brita comercial</v>
          </cell>
          <cell r="E176" t="str">
            <v>m</v>
          </cell>
          <cell r="F176">
            <v>44.382844300000002</v>
          </cell>
          <cell r="G176">
            <v>44.382844300000002</v>
          </cell>
          <cell r="H176">
            <v>44.382844300000002</v>
          </cell>
          <cell r="I176">
            <v>0</v>
          </cell>
          <cell r="J176">
            <v>48.564567599999997</v>
          </cell>
          <cell r="K176">
            <v>48.564567599999997</v>
          </cell>
          <cell r="L176">
            <v>48.564567599999997</v>
          </cell>
          <cell r="W176" t="str">
            <v>E9508</v>
          </cell>
          <cell r="X176" t="str">
            <v>Caminhão carroceria com capacidade de 9 t - 136 kW</v>
          </cell>
          <cell r="Y176" t="str">
            <v>h</v>
          </cell>
          <cell r="Z176">
            <v>133.30330000000001</v>
          </cell>
          <cell r="AA176">
            <v>44.787599999999998</v>
          </cell>
          <cell r="BC176" t="str">
            <v>E9508</v>
          </cell>
          <cell r="BD176" t="str">
            <v>Caminhão carroceria com capacidade de 9 t - 136 kW</v>
          </cell>
          <cell r="BE176" t="str">
            <v>h</v>
          </cell>
          <cell r="BF176">
            <v>132.86330000000001</v>
          </cell>
          <cell r="BG176">
            <v>45.545299999999997</v>
          </cell>
          <cell r="CC176">
            <v>0</v>
          </cell>
          <cell r="CD176" t="str">
            <v>Tacha refletiva metálica com dois pinos - bidirecional - fornecimento e colocação</v>
          </cell>
          <cell r="CE176" t="str">
            <v>un</v>
          </cell>
          <cell r="CF176" t="str">
            <v>não aplicada</v>
          </cell>
          <cell r="CG176">
            <v>0</v>
          </cell>
          <cell r="CH176">
            <v>1</v>
          </cell>
          <cell r="CI176">
            <v>5213395</v>
          </cell>
          <cell r="CJ176">
            <v>32.534966247709477</v>
          </cell>
          <cell r="CK176">
            <v>0</v>
          </cell>
          <cell r="CL176">
            <v>5213395</v>
          </cell>
          <cell r="CM176">
            <v>34.530034902548728</v>
          </cell>
          <cell r="CN176">
            <v>0</v>
          </cell>
          <cell r="DN176" t="str">
            <v>Serviço de Socorro Mecânico</v>
          </cell>
          <cell r="DO176">
            <v>0</v>
          </cell>
          <cell r="DP176">
            <v>0</v>
          </cell>
          <cell r="DQ176">
            <v>0</v>
          </cell>
          <cell r="DR176">
            <v>0</v>
          </cell>
          <cell r="DS176">
            <v>0</v>
          </cell>
        </row>
        <row r="177">
          <cell r="B177">
            <v>2003606</v>
          </cell>
          <cell r="C177" t="str">
            <v>SICRO</v>
          </cell>
          <cell r="D177" t="str">
            <v>Dreno sub-superficial - DSS 02 - brita produzida</v>
          </cell>
          <cell r="E177" t="str">
            <v>m</v>
          </cell>
          <cell r="F177">
            <v>39.033957199999996</v>
          </cell>
          <cell r="G177">
            <v>39.033957199999996</v>
          </cell>
          <cell r="H177">
            <v>39.033957199999996</v>
          </cell>
          <cell r="I177">
            <v>0</v>
          </cell>
          <cell r="J177">
            <v>40.624162399999996</v>
          </cell>
          <cell r="K177">
            <v>40.624162399999996</v>
          </cell>
          <cell r="L177">
            <v>40.624162399999996</v>
          </cell>
          <cell r="W177" t="str">
            <v>E9792</v>
          </cell>
          <cell r="X177" t="str">
            <v>Caminhão para hidrossemeadura com capacidade de 7.000 l - 25 kW/136 kW</v>
          </cell>
          <cell r="Y177" t="str">
            <v>h</v>
          </cell>
          <cell r="Z177">
            <v>187.5324</v>
          </cell>
          <cell r="AA177">
            <v>79.610900000000001</v>
          </cell>
          <cell r="BC177" t="str">
            <v>E9792</v>
          </cell>
          <cell r="BD177" t="str">
            <v>Caminhão para hidrossemeadura com capacidade de 7.000 l - 25 kW/136 kW</v>
          </cell>
          <cell r="BE177" t="str">
            <v>h</v>
          </cell>
          <cell r="BF177">
            <v>180.321</v>
          </cell>
          <cell r="BG177">
            <v>73.803100000000001</v>
          </cell>
          <cell r="CC177" t="str">
            <v>R3-AB</v>
          </cell>
          <cell r="CD177" t="str">
            <v xml:space="preserve"> REFORÇO: (3cm) BINDER - Aplicado apenas nos acostamentos (não tem pintura e tachas)</v>
          </cell>
          <cell r="CE177">
            <v>0</v>
          </cell>
          <cell r="CF177">
            <v>0</v>
          </cell>
          <cell r="CG177">
            <v>0</v>
          </cell>
          <cell r="CH177">
            <v>0</v>
          </cell>
          <cell r="CI177">
            <v>0</v>
          </cell>
          <cell r="CJ177">
            <v>0</v>
          </cell>
          <cell r="CK177">
            <v>25.504863318806343</v>
          </cell>
          <cell r="CL177">
            <v>0</v>
          </cell>
          <cell r="CM177">
            <v>0</v>
          </cell>
          <cell r="CN177">
            <v>26.027556829201146</v>
          </cell>
          <cell r="DN177" t="str">
            <v>Serviço de Guincho Leve</v>
          </cell>
          <cell r="DO177">
            <v>0</v>
          </cell>
          <cell r="DP177">
            <v>0</v>
          </cell>
          <cell r="DQ177">
            <v>0</v>
          </cell>
          <cell r="DR177">
            <v>0</v>
          </cell>
          <cell r="DS177">
            <v>0</v>
          </cell>
        </row>
        <row r="178">
          <cell r="B178">
            <v>2003385</v>
          </cell>
          <cell r="C178" t="str">
            <v>SICRO</v>
          </cell>
          <cell r="D178" t="str">
            <v>Entrada para descida d'água - EDA 01 - areia e brita comerciais</v>
          </cell>
          <cell r="E178" t="str">
            <v>un</v>
          </cell>
          <cell r="F178">
            <v>39.714600000000004</v>
          </cell>
          <cell r="G178">
            <v>39.714600000000004</v>
          </cell>
          <cell r="H178">
            <v>39.714600000000004</v>
          </cell>
          <cell r="I178">
            <v>0</v>
          </cell>
          <cell r="J178">
            <v>42.299100000000003</v>
          </cell>
          <cell r="K178">
            <v>42.299100000000003</v>
          </cell>
          <cell r="L178">
            <v>42.299100000000003</v>
          </cell>
          <cell r="W178" t="str">
            <v>M0050</v>
          </cell>
          <cell r="X178" t="str">
            <v>Adesivo fixador para hidrossemeadura - Goma Xantana</v>
          </cell>
          <cell r="Y178" t="str">
            <v>kg</v>
          </cell>
          <cell r="Z178">
            <v>37.1</v>
          </cell>
          <cell r="AA178">
            <v>0</v>
          </cell>
          <cell r="BC178" t="str">
            <v>M0050</v>
          </cell>
          <cell r="BD178" t="str">
            <v>Adesivo fixador para hidrossemeadura - Goma Xantana</v>
          </cell>
          <cell r="BE178" t="str">
            <v>kg</v>
          </cell>
          <cell r="BF178">
            <v>35.968000000000004</v>
          </cell>
          <cell r="BG178">
            <v>0</v>
          </cell>
          <cell r="CC178" t="str">
            <v>(m²)</v>
          </cell>
          <cell r="CD178" t="str">
            <v>Concreto asfáltico - faixa B - areia e brita comerciais</v>
          </cell>
          <cell r="CE178" t="str">
            <v>t</v>
          </cell>
          <cell r="CF178">
            <v>3</v>
          </cell>
          <cell r="CG178">
            <v>7.1999999999999995E-2</v>
          </cell>
          <cell r="CH178">
            <v>1</v>
          </cell>
          <cell r="CI178">
            <v>4011459</v>
          </cell>
          <cell r="CJ178">
            <v>123.09799260452866</v>
          </cell>
          <cell r="CK178">
            <v>11.641623356595483</v>
          </cell>
          <cell r="CL178">
            <v>4011459</v>
          </cell>
          <cell r="CM178">
            <v>128.04956019277108</v>
          </cell>
          <cell r="CN178">
            <v>12.109903006550745</v>
          </cell>
          <cell r="DN178" t="str">
            <v>Motorista de Guincho</v>
          </cell>
          <cell r="DO178">
            <v>1639.52</v>
          </cell>
          <cell r="DP178">
            <v>1776.34</v>
          </cell>
          <cell r="DQ178">
            <v>1.0335248790636142</v>
          </cell>
          <cell r="DR178">
            <v>1694.4847097223767</v>
          </cell>
          <cell r="DS178">
            <v>2118.7340970016439</v>
          </cell>
        </row>
        <row r="179">
          <cell r="B179">
            <v>2003387</v>
          </cell>
          <cell r="C179" t="str">
            <v>SICRO</v>
          </cell>
          <cell r="D179" t="str">
            <v>Entrada para descida d'água - EDA 02 - areia e brita comerciais</v>
          </cell>
          <cell r="E179" t="str">
            <v>un</v>
          </cell>
          <cell r="F179">
            <v>48.854400000000005</v>
          </cell>
          <cell r="G179">
            <v>48.854400000000005</v>
          </cell>
          <cell r="H179">
            <v>48.854400000000005</v>
          </cell>
          <cell r="I179">
            <v>0</v>
          </cell>
          <cell r="J179">
            <v>52.058400000000006</v>
          </cell>
          <cell r="K179">
            <v>52.058400000000006</v>
          </cell>
          <cell r="L179">
            <v>52.058400000000006</v>
          </cell>
          <cell r="W179" t="str">
            <v>M0217</v>
          </cell>
          <cell r="X179" t="str">
            <v>Enxofre</v>
          </cell>
          <cell r="Y179" t="str">
            <v>kg</v>
          </cell>
          <cell r="Z179">
            <v>1.85</v>
          </cell>
          <cell r="AA179">
            <v>0</v>
          </cell>
          <cell r="BC179" t="str">
            <v>M0217</v>
          </cell>
          <cell r="BD179" t="str">
            <v>Enxofre</v>
          </cell>
          <cell r="BE179" t="str">
            <v>kg</v>
          </cell>
          <cell r="BF179">
            <v>1.7786</v>
          </cell>
          <cell r="BG179">
            <v>0</v>
          </cell>
          <cell r="CC179">
            <v>0</v>
          </cell>
          <cell r="CD179" t="str">
            <v>Fornecimento de CAP 50/70</v>
          </cell>
          <cell r="CE179" t="str">
            <v>t</v>
          </cell>
          <cell r="CF179" t="str">
            <v>0,04762 t</v>
          </cell>
          <cell r="CG179">
            <v>3.4972127999999998E-3</v>
          </cell>
          <cell r="CH179">
            <v>1</v>
          </cell>
          <cell r="CI179" t="str">
            <v>CPU01</v>
          </cell>
          <cell r="CJ179">
            <v>3571.7922525333884</v>
          </cell>
          <cell r="CK179">
            <v>12.491317584500598</v>
          </cell>
          <cell r="CL179" t="str">
            <v>CPU01-1</v>
          </cell>
          <cell r="CM179">
            <v>3582.3359691513733</v>
          </cell>
          <cell r="CN179">
            <v>12.528191205216586</v>
          </cell>
          <cell r="DN179" t="str">
            <v xml:space="preserve">Serviço de Guincho Pesado </v>
          </cell>
          <cell r="DO179">
            <v>0</v>
          </cell>
          <cell r="DP179">
            <v>0</v>
          </cell>
          <cell r="DQ179">
            <v>0</v>
          </cell>
          <cell r="DR179">
            <v>0</v>
          </cell>
          <cell r="DS179">
            <v>0</v>
          </cell>
        </row>
        <row r="180">
          <cell r="B180">
            <v>2003335</v>
          </cell>
          <cell r="C180" t="str">
            <v>SICRO</v>
          </cell>
          <cell r="D180" t="str">
            <v>Entrada para descida d'água - EDA 03 - areia e brita comerciais</v>
          </cell>
          <cell r="E180" t="str">
            <v>un</v>
          </cell>
          <cell r="F180">
            <v>1462.9019400000002</v>
          </cell>
          <cell r="G180">
            <v>1462.9019400000002</v>
          </cell>
          <cell r="H180">
            <v>1462.9019400000002</v>
          </cell>
          <cell r="I180">
            <v>0</v>
          </cell>
          <cell r="J180">
            <v>1534.4780700000001</v>
          </cell>
          <cell r="K180">
            <v>1534.4780700000001</v>
          </cell>
          <cell r="L180">
            <v>1534.4780700000001</v>
          </cell>
          <cell r="W180" t="str">
            <v>M0218</v>
          </cell>
          <cell r="X180" t="str">
            <v>Adubo fósforo (30%)</v>
          </cell>
          <cell r="Y180" t="str">
            <v>kg</v>
          </cell>
          <cell r="Z180">
            <v>1.01</v>
          </cell>
          <cell r="AA180">
            <v>0</v>
          </cell>
          <cell r="BC180" t="str">
            <v>M0218</v>
          </cell>
          <cell r="BD180" t="str">
            <v>Adubo fósforo (30%)</v>
          </cell>
          <cell r="BE180" t="str">
            <v>kg</v>
          </cell>
          <cell r="BF180">
            <v>1.01</v>
          </cell>
          <cell r="BG180">
            <v>0</v>
          </cell>
          <cell r="CC180">
            <v>0</v>
          </cell>
          <cell r="CD180" t="str">
            <v>Pintura de ligação</v>
          </cell>
          <cell r="CE180" t="str">
            <v>m²</v>
          </cell>
          <cell r="CF180">
            <v>1</v>
          </cell>
          <cell r="CG180">
            <v>1</v>
          </cell>
          <cell r="CH180">
            <v>1</v>
          </cell>
          <cell r="CI180">
            <v>4011353</v>
          </cell>
          <cell r="CJ180">
            <v>0.18392808219669335</v>
          </cell>
          <cell r="CK180">
            <v>0.24158953596535671</v>
          </cell>
          <cell r="CL180">
            <v>4011353</v>
          </cell>
          <cell r="CM180">
            <v>0.18912484066666665</v>
          </cell>
          <cell r="CN180">
            <v>0.24841547821566662</v>
          </cell>
          <cell r="DN180" t="str">
            <v>Motorista de Guincho</v>
          </cell>
          <cell r="DO180">
            <v>1639.52</v>
          </cell>
          <cell r="DP180">
            <v>1776.34</v>
          </cell>
          <cell r="DQ180">
            <v>1.0335248790636142</v>
          </cell>
          <cell r="DR180">
            <v>1694.4847097223767</v>
          </cell>
          <cell r="DS180">
            <v>2118.7340970016439</v>
          </cell>
        </row>
        <row r="181">
          <cell r="B181">
            <v>2003767</v>
          </cell>
          <cell r="C181" t="str">
            <v>SICRO</v>
          </cell>
          <cell r="D181" t="str">
            <v>Lastro de areia comercial - espalhamento manual</v>
          </cell>
          <cell r="E181" t="str">
            <v>m³</v>
          </cell>
          <cell r="F181">
            <v>77.632880401600005</v>
          </cell>
          <cell r="G181">
            <v>77.632880401600005</v>
          </cell>
          <cell r="H181">
            <v>77.632880401600005</v>
          </cell>
          <cell r="I181">
            <v>0</v>
          </cell>
          <cell r="J181">
            <v>81.335058071679995</v>
          </cell>
          <cell r="K181">
            <v>81.335058071679995</v>
          </cell>
          <cell r="L181">
            <v>81.335058071679995</v>
          </cell>
          <cell r="W181" t="str">
            <v>M0219</v>
          </cell>
          <cell r="X181" t="str">
            <v>Adubo potássio</v>
          </cell>
          <cell r="Y181" t="str">
            <v>kg</v>
          </cell>
          <cell r="Z181">
            <v>1.746</v>
          </cell>
          <cell r="AA181">
            <v>0</v>
          </cell>
          <cell r="BC181" t="str">
            <v>M0219</v>
          </cell>
          <cell r="BD181" t="str">
            <v>Adubo potássio</v>
          </cell>
          <cell r="BE181" t="str">
            <v>kg</v>
          </cell>
          <cell r="BF181">
            <v>1.913</v>
          </cell>
          <cell r="BG181">
            <v>0</v>
          </cell>
          <cell r="CC181">
            <v>0</v>
          </cell>
          <cell r="CD181" t="str">
            <v>Fornecimento de emulsão RR-1C</v>
          </cell>
          <cell r="CE181" t="str">
            <v>t</v>
          </cell>
          <cell r="CF181" t="str">
            <v>0,00045 t</v>
          </cell>
          <cell r="CG181">
            <v>4.4999999999999999E-4</v>
          </cell>
          <cell r="CH181">
            <v>1</v>
          </cell>
          <cell r="CI181" t="str">
            <v>CPU04</v>
          </cell>
          <cell r="CJ181">
            <v>2511.8507594331254</v>
          </cell>
          <cell r="CK181">
            <v>1.1303328417449063</v>
          </cell>
          <cell r="CL181" t="str">
            <v>CPU04-1</v>
          </cell>
          <cell r="CM181">
            <v>2535.6603093736671</v>
          </cell>
          <cell r="CN181">
            <v>1.1410471392181503</v>
          </cell>
          <cell r="DN181" t="str">
            <v>Serviço de Caminhão Irrigadeira (Carro-pipa)</v>
          </cell>
          <cell r="DO181">
            <v>0</v>
          </cell>
          <cell r="DP181">
            <v>0</v>
          </cell>
          <cell r="DQ181">
            <v>0</v>
          </cell>
          <cell r="DR181">
            <v>0</v>
          </cell>
          <cell r="DS181">
            <v>0</v>
          </cell>
        </row>
        <row r="182">
          <cell r="B182">
            <v>2003850</v>
          </cell>
          <cell r="C182" t="str">
            <v>SICRO</v>
          </cell>
          <cell r="D182" t="str">
            <v>Lastro de brita comercial</v>
          </cell>
          <cell r="E182" t="str">
            <v>m³</v>
          </cell>
          <cell r="F182">
            <v>80.279686349441363</v>
          </cell>
          <cell r="G182">
            <v>80.279686349441363</v>
          </cell>
          <cell r="H182">
            <v>80.279686349441363</v>
          </cell>
          <cell r="I182">
            <v>0</v>
          </cell>
          <cell r="J182">
            <v>100.13920334469275</v>
          </cell>
          <cell r="K182">
            <v>100.13920334469275</v>
          </cell>
          <cell r="L182">
            <v>100.13920334469275</v>
          </cell>
          <cell r="W182" t="str">
            <v>M0220</v>
          </cell>
          <cell r="X182" t="str">
            <v>Adubo NPK</v>
          </cell>
          <cell r="Y182" t="str">
            <v>kg</v>
          </cell>
          <cell r="Z182">
            <v>1.3452</v>
          </cell>
          <cell r="AA182">
            <v>0</v>
          </cell>
          <cell r="BC182" t="str">
            <v>M0220</v>
          </cell>
          <cell r="BD182" t="str">
            <v>Adubo NPK</v>
          </cell>
          <cell r="BE182" t="str">
            <v>kg</v>
          </cell>
          <cell r="BF182">
            <v>1.347</v>
          </cell>
          <cell r="BG182">
            <v>0</v>
          </cell>
          <cell r="CC182">
            <v>0</v>
          </cell>
          <cell r="CD182" t="str">
            <v>Pintura de faixa - tinta base acrílica - espessura de 0,6 mm</v>
          </cell>
          <cell r="CE182" t="str">
            <v>m²</v>
          </cell>
          <cell r="CF182" t="str">
            <v>não aplicada</v>
          </cell>
          <cell r="CG182">
            <v>0</v>
          </cell>
          <cell r="CH182">
            <v>1</v>
          </cell>
          <cell r="CI182">
            <v>5213401</v>
          </cell>
          <cell r="CJ182">
            <v>20.390807290896916</v>
          </cell>
          <cell r="CK182">
            <v>0</v>
          </cell>
          <cell r="CL182">
            <v>5213401</v>
          </cell>
          <cell r="CM182">
            <v>22.71825438768407</v>
          </cell>
          <cell r="CN182">
            <v>0</v>
          </cell>
          <cell r="DN182" t="str">
            <v>Motorista</v>
          </cell>
          <cell r="DO182">
            <v>1582.62</v>
          </cell>
          <cell r="DP182">
            <v>1907.21</v>
          </cell>
          <cell r="DQ182">
            <v>1.0335248790636142</v>
          </cell>
          <cell r="DR182">
            <v>1635.6771441036572</v>
          </cell>
          <cell r="DS182">
            <v>2074.387311768568</v>
          </cell>
        </row>
        <row r="183">
          <cell r="B183">
            <v>2003868</v>
          </cell>
          <cell r="C183" t="str">
            <v>SICRO</v>
          </cell>
          <cell r="D183" t="str">
            <v>Lastro de pedra de mão ou rachão lançamento manual</v>
          </cell>
          <cell r="E183" t="str">
            <v>m³</v>
          </cell>
          <cell r="F183">
            <v>75.387476505999999</v>
          </cell>
          <cell r="G183">
            <v>75.387476505999999</v>
          </cell>
          <cell r="H183">
            <v>75.387476505999999</v>
          </cell>
          <cell r="I183">
            <v>0</v>
          </cell>
          <cell r="J183">
            <v>92.061892768800007</v>
          </cell>
          <cell r="K183">
            <v>92.061892768800007</v>
          </cell>
          <cell r="L183">
            <v>92.061892768800007</v>
          </cell>
          <cell r="W183" t="str">
            <v>M0223</v>
          </cell>
          <cell r="X183" t="str">
            <v>Sementes para hidrossemeadura</v>
          </cell>
          <cell r="Y183" t="str">
            <v>kg</v>
          </cell>
          <cell r="Z183">
            <v>11.2</v>
          </cell>
          <cell r="AA183">
            <v>0</v>
          </cell>
          <cell r="BC183" t="str">
            <v>M0223</v>
          </cell>
          <cell r="BD183" t="str">
            <v>Sementes para hidrossemeadura</v>
          </cell>
          <cell r="BE183" t="str">
            <v>kg</v>
          </cell>
          <cell r="BF183">
            <v>16.149999999999999</v>
          </cell>
          <cell r="BG183">
            <v>0</v>
          </cell>
          <cell r="CC183">
            <v>0</v>
          </cell>
          <cell r="CD183" t="str">
            <v>Tacha refletiva monodirecional - fornecimento e colocação</v>
          </cell>
          <cell r="CE183" t="str">
            <v>un</v>
          </cell>
          <cell r="CF183" t="str">
            <v>não aplicada</v>
          </cell>
          <cell r="CG183">
            <v>0</v>
          </cell>
          <cell r="CH183">
            <v>1</v>
          </cell>
          <cell r="CI183">
            <v>5213359</v>
          </cell>
          <cell r="CJ183">
            <v>12.189996472111552</v>
          </cell>
          <cell r="CK183">
            <v>0</v>
          </cell>
          <cell r="CL183">
            <v>5213359</v>
          </cell>
          <cell r="CM183">
            <v>14.739324009960159</v>
          </cell>
          <cell r="CN183">
            <v>0</v>
          </cell>
          <cell r="DN183" t="str">
            <v>Serviço de Caminhão Irrigadeira (Carro-pipa) - Outras</v>
          </cell>
          <cell r="DO183">
            <v>0</v>
          </cell>
          <cell r="DP183">
            <v>0</v>
          </cell>
          <cell r="DQ183">
            <v>0</v>
          </cell>
          <cell r="DR183">
            <v>0</v>
          </cell>
          <cell r="DS183">
            <v>0</v>
          </cell>
        </row>
        <row r="184">
          <cell r="B184">
            <v>2003369</v>
          </cell>
          <cell r="C184" t="str">
            <v>SICRO</v>
          </cell>
          <cell r="D184" t="str">
            <v>Meio fio de concreto - MFC 01 - areia e brita comerciais - forma de madeira</v>
          </cell>
          <cell r="E184" t="str">
            <v>m</v>
          </cell>
          <cell r="F184">
            <v>50.902193000000004</v>
          </cell>
          <cell r="G184">
            <v>50.902193000000004</v>
          </cell>
          <cell r="H184">
            <v>50.902193000000004</v>
          </cell>
          <cell r="I184">
            <v>0</v>
          </cell>
          <cell r="J184">
            <v>54.114435999999998</v>
          </cell>
          <cell r="K184">
            <v>54.114435999999998</v>
          </cell>
          <cell r="L184">
            <v>54.114435999999998</v>
          </cell>
          <cell r="W184" t="str">
            <v>M0225</v>
          </cell>
          <cell r="X184" t="str">
            <v>Adubo orgânico</v>
          </cell>
          <cell r="Y184" t="str">
            <v>kg</v>
          </cell>
          <cell r="Z184">
            <v>0.19950000000000001</v>
          </cell>
          <cell r="AA184">
            <v>0</v>
          </cell>
          <cell r="BC184" t="str">
            <v>M0225</v>
          </cell>
          <cell r="BD184" t="str">
            <v>Adubo orgânico</v>
          </cell>
          <cell r="BE184" t="str">
            <v>kg</v>
          </cell>
          <cell r="BF184">
            <v>0.19950000000000001</v>
          </cell>
          <cell r="BG184">
            <v>0</v>
          </cell>
          <cell r="CC184">
            <v>0</v>
          </cell>
          <cell r="CD184" t="str">
            <v>Tacha refletiva metálica com dois pinos - bidirecional - fornecimento e colocação</v>
          </cell>
          <cell r="CE184" t="str">
            <v>un</v>
          </cell>
          <cell r="CF184" t="str">
            <v>não aplicada</v>
          </cell>
          <cell r="CG184">
            <v>0</v>
          </cell>
          <cell r="CH184">
            <v>1</v>
          </cell>
          <cell r="CI184">
            <v>5213395</v>
          </cell>
          <cell r="CJ184">
            <v>32.534966247709477</v>
          </cell>
          <cell r="CK184">
            <v>0</v>
          </cell>
          <cell r="CL184">
            <v>5213395</v>
          </cell>
          <cell r="CM184">
            <v>34.530034902548728</v>
          </cell>
          <cell r="CN184">
            <v>0</v>
          </cell>
          <cell r="DN184" t="str">
            <v>Motorista</v>
          </cell>
          <cell r="DO184">
            <v>1582.62</v>
          </cell>
          <cell r="DP184">
            <v>1907.21</v>
          </cell>
          <cell r="DQ184">
            <v>1.0335248790636142</v>
          </cell>
          <cell r="DR184">
            <v>1635.6771441036572</v>
          </cell>
          <cell r="DS184">
            <v>2074.387311768568</v>
          </cell>
        </row>
        <row r="185">
          <cell r="B185">
            <v>2003373</v>
          </cell>
          <cell r="C185" t="str">
            <v>SICRO</v>
          </cell>
          <cell r="D185" t="str">
            <v>Meio fio de concreto - MFC 03 - areia e brita comerciais - forma de madeira</v>
          </cell>
          <cell r="E185" t="str">
            <v>m</v>
          </cell>
          <cell r="F185">
            <v>22.746943999999999</v>
          </cell>
          <cell r="G185">
            <v>22.746943999999999</v>
          </cell>
          <cell r="H185">
            <v>22.746943999999999</v>
          </cell>
          <cell r="I185">
            <v>0</v>
          </cell>
          <cell r="J185">
            <v>24.171260000000004</v>
          </cell>
          <cell r="K185">
            <v>24.171260000000004</v>
          </cell>
          <cell r="L185">
            <v>24.171260000000004</v>
          </cell>
          <cell r="W185" t="str">
            <v>M1755</v>
          </cell>
          <cell r="X185" t="str">
            <v>Pó calcário</v>
          </cell>
          <cell r="Y185" t="str">
            <v>kg</v>
          </cell>
          <cell r="Z185">
            <v>0.17649999999999999</v>
          </cell>
          <cell r="AA185">
            <v>0</v>
          </cell>
          <cell r="BC185" t="str">
            <v>M1755</v>
          </cell>
          <cell r="BD185" t="str">
            <v>Pó calcário</v>
          </cell>
          <cell r="BE185" t="str">
            <v>kg</v>
          </cell>
          <cell r="BF185">
            <v>0.13750000000000001</v>
          </cell>
          <cell r="BG185">
            <v>0</v>
          </cell>
          <cell r="CC185" t="str">
            <v>R3,5-AB</v>
          </cell>
          <cell r="CD185" t="str">
            <v xml:space="preserve"> REFORÇO: (3,5cm) BINDER - Aplicado apenas nos acostamentos (não tem pintura e tachas)</v>
          </cell>
          <cell r="CE185">
            <v>0</v>
          </cell>
          <cell r="CF185">
            <v>0</v>
          </cell>
          <cell r="CG185">
            <v>0</v>
          </cell>
          <cell r="CH185">
            <v>0</v>
          </cell>
          <cell r="CI185">
            <v>0</v>
          </cell>
          <cell r="CJ185">
            <v>0</v>
          </cell>
          <cell r="CK185">
            <v>33.238436681352518</v>
          </cell>
          <cell r="CL185">
            <v>0</v>
          </cell>
          <cell r="CM185">
            <v>0</v>
          </cell>
          <cell r="CN185">
            <v>34.344975046058671</v>
          </cell>
          <cell r="DN185" t="str">
            <v>Serviço de Apreensão e Acolhimento de Animais na Faixa de Domínio</v>
          </cell>
          <cell r="DO185">
            <v>0</v>
          </cell>
          <cell r="DP185">
            <v>0</v>
          </cell>
          <cell r="DQ185">
            <v>0</v>
          </cell>
          <cell r="DR185">
            <v>0</v>
          </cell>
          <cell r="DS185">
            <v>0</v>
          </cell>
        </row>
        <row r="186">
          <cell r="B186">
            <v>2003377</v>
          </cell>
          <cell r="C186" t="str">
            <v>SICRO</v>
          </cell>
          <cell r="D186" t="str">
            <v>Meio fio de concreto - MFC 05 - areia e brita comerciais - forma de madeira</v>
          </cell>
          <cell r="E186" t="str">
            <v>m</v>
          </cell>
          <cell r="F186">
            <v>19.706970000000002</v>
          </cell>
          <cell r="G186">
            <v>19.706970000000002</v>
          </cell>
          <cell r="H186">
            <v>19.706970000000002</v>
          </cell>
          <cell r="I186">
            <v>0</v>
          </cell>
          <cell r="J186">
            <v>20.928743000000001</v>
          </cell>
          <cell r="K186">
            <v>20.928743000000001</v>
          </cell>
          <cell r="L186">
            <v>20.928743000000001</v>
          </cell>
          <cell r="W186" t="str">
            <v>M1756</v>
          </cell>
          <cell r="X186" t="str">
            <v>Material formador da camada protetora de hidrossemeadura</v>
          </cell>
          <cell r="Y186" t="str">
            <v>kg</v>
          </cell>
          <cell r="Z186">
            <v>1.2</v>
          </cell>
          <cell r="AA186">
            <v>0</v>
          </cell>
          <cell r="BC186" t="str">
            <v>M1756</v>
          </cell>
          <cell r="BD186" t="str">
            <v>Material formador da camada protetora de hidrossemeadura</v>
          </cell>
          <cell r="BE186" t="str">
            <v>kg</v>
          </cell>
          <cell r="BF186">
            <v>1.2</v>
          </cell>
          <cell r="BG186">
            <v>0</v>
          </cell>
          <cell r="CC186" t="str">
            <v>(m²)</v>
          </cell>
          <cell r="CD186" t="str">
            <v>Concreto asfáltico - faixa B - areia e brita comerciais</v>
          </cell>
          <cell r="CE186" t="str">
            <v>t</v>
          </cell>
          <cell r="CF186">
            <v>3.5</v>
          </cell>
          <cell r="CG186">
            <v>8.4000000000000005E-2</v>
          </cell>
          <cell r="CH186">
            <v>1</v>
          </cell>
          <cell r="CI186">
            <v>4011459</v>
          </cell>
          <cell r="CJ186">
            <v>123.09799260452866</v>
          </cell>
          <cell r="CK186">
            <v>13.581893916028063</v>
          </cell>
          <cell r="CL186">
            <v>4011459</v>
          </cell>
          <cell r="CM186">
            <v>128.04956019277108</v>
          </cell>
          <cell r="CN186">
            <v>14.128220174309204</v>
          </cell>
          <cell r="DN186" t="str">
            <v>Motorista</v>
          </cell>
          <cell r="DO186">
            <v>1582.62</v>
          </cell>
          <cell r="DP186">
            <v>1907.21</v>
          </cell>
          <cell r="DQ186">
            <v>1.0335248790636142</v>
          </cell>
          <cell r="DR186">
            <v>1635.6771441036572</v>
          </cell>
          <cell r="DS186">
            <v>2074.387311768568</v>
          </cell>
        </row>
        <row r="187">
          <cell r="B187">
            <v>2003678</v>
          </cell>
          <cell r="C187" t="str">
            <v>SICRO</v>
          </cell>
          <cell r="D187" t="str">
            <v>Poço de visita - PVI 01 - areia e brita comerciais</v>
          </cell>
          <cell r="E187" t="str">
            <v>un</v>
          </cell>
          <cell r="F187">
            <v>1603.9294</v>
          </cell>
          <cell r="G187">
            <v>1603.9294</v>
          </cell>
          <cell r="H187">
            <v>1603.9294</v>
          </cell>
          <cell r="I187">
            <v>0</v>
          </cell>
          <cell r="J187">
            <v>1692.4069000000002</v>
          </cell>
          <cell r="K187">
            <v>1692.4069000000002</v>
          </cell>
          <cell r="L187">
            <v>1692.4069000000002</v>
          </cell>
          <cell r="W187" t="str">
            <v>M0050</v>
          </cell>
          <cell r="X187" t="str">
            <v>Adesivo fixador para hidrossemeadura - Goma Xantana - Caminhão carroceria 9 t</v>
          </cell>
          <cell r="Y187" t="str">
            <v>kg</v>
          </cell>
          <cell r="Z187">
            <v>37.1</v>
          </cell>
          <cell r="AA187">
            <v>0</v>
          </cell>
          <cell r="BC187" t="str">
            <v>M0050</v>
          </cell>
          <cell r="BD187" t="str">
            <v>Adesivo fixador para hidrossemeadura - Goma Xantana - Caminhão carroceria 9 t</v>
          </cell>
          <cell r="BE187" t="str">
            <v>kg</v>
          </cell>
          <cell r="BF187">
            <v>35.968000000000004</v>
          </cell>
          <cell r="BG187">
            <v>0</v>
          </cell>
          <cell r="CC187">
            <v>0</v>
          </cell>
          <cell r="CD187" t="str">
            <v>Fornecimento de CAP 50/70</v>
          </cell>
          <cell r="CE187" t="str">
            <v>t</v>
          </cell>
          <cell r="CF187" t="str">
            <v>0,04762 t</v>
          </cell>
          <cell r="CG187">
            <v>4.0800816000000004E-3</v>
          </cell>
          <cell r="CH187">
            <v>1</v>
          </cell>
          <cell r="CI187" t="str">
            <v>CPU10</v>
          </cell>
          <cell r="CJ187">
            <v>4481.4349761078774</v>
          </cell>
          <cell r="CK187">
            <v>18.284620387614194</v>
          </cell>
          <cell r="CL187" t="str">
            <v>CPU10-1</v>
          </cell>
          <cell r="CM187">
            <v>4614.4401264709131</v>
          </cell>
          <cell r="CN187">
            <v>18.827292254315648</v>
          </cell>
          <cell r="DN187" t="str">
            <v>Guarda e Vigilância Patrimonial</v>
          </cell>
          <cell r="DO187">
            <v>0</v>
          </cell>
          <cell r="DP187">
            <v>0</v>
          </cell>
          <cell r="DQ187">
            <v>0</v>
          </cell>
          <cell r="DR187">
            <v>0</v>
          </cell>
          <cell r="DS187">
            <v>0</v>
          </cell>
        </row>
        <row r="188">
          <cell r="B188">
            <v>2003682</v>
          </cell>
          <cell r="C188" t="str">
            <v>SICRO</v>
          </cell>
          <cell r="D188" t="str">
            <v>Poço de visita - PVI 03 - areia e brita comerciais</v>
          </cell>
          <cell r="E188" t="str">
            <v>un</v>
          </cell>
          <cell r="F188">
            <v>1809.6353999999999</v>
          </cell>
          <cell r="G188">
            <v>1809.6353999999999</v>
          </cell>
          <cell r="H188">
            <v>1809.6353999999999</v>
          </cell>
          <cell r="I188">
            <v>0</v>
          </cell>
          <cell r="J188">
            <v>1910.2393000000002</v>
          </cell>
          <cell r="K188">
            <v>1910.2393000000002</v>
          </cell>
          <cell r="L188">
            <v>1910.2393000000002</v>
          </cell>
          <cell r="W188" t="str">
            <v>M0217</v>
          </cell>
          <cell r="X188" t="str">
            <v>Enxofre - Caminhão carroceria 9 t</v>
          </cell>
          <cell r="Y188" t="str">
            <v>kg</v>
          </cell>
          <cell r="Z188">
            <v>1.85</v>
          </cell>
          <cell r="AA188">
            <v>0</v>
          </cell>
          <cell r="BC188" t="str">
            <v>M0217</v>
          </cell>
          <cell r="BD188" t="str">
            <v>Enxofre - Caminhão carroceria 9 t</v>
          </cell>
          <cell r="BE188" t="str">
            <v>kg</v>
          </cell>
          <cell r="BF188">
            <v>1.7786</v>
          </cell>
          <cell r="BG188">
            <v>0</v>
          </cell>
          <cell r="CC188">
            <v>0</v>
          </cell>
          <cell r="CD188" t="str">
            <v>Pintura de ligação</v>
          </cell>
          <cell r="CE188" t="str">
            <v>m²</v>
          </cell>
          <cell r="CF188">
            <v>1</v>
          </cell>
          <cell r="CG188">
            <v>1</v>
          </cell>
          <cell r="CH188">
            <v>1</v>
          </cell>
          <cell r="CI188">
            <v>4011353</v>
          </cell>
          <cell r="CJ188">
            <v>0.18392808219669335</v>
          </cell>
          <cell r="CK188">
            <v>0.24158953596535671</v>
          </cell>
          <cell r="CL188">
            <v>4011353</v>
          </cell>
          <cell r="CM188">
            <v>0.18912484066666665</v>
          </cell>
          <cell r="CN188">
            <v>0.24841547821566662</v>
          </cell>
          <cell r="DN188" t="str">
            <v>Supervisor de Equipe</v>
          </cell>
          <cell r="DO188">
            <v>3870.48</v>
          </cell>
          <cell r="DP188">
            <v>4334.2700000000004</v>
          </cell>
          <cell r="DQ188">
            <v>1.0335248790636142</v>
          </cell>
          <cell r="DR188">
            <v>4000.2373739181376</v>
          </cell>
          <cell r="DS188">
            <v>3857.5021810716676</v>
          </cell>
        </row>
        <row r="189">
          <cell r="B189">
            <v>2004505</v>
          </cell>
          <cell r="C189" t="str">
            <v>SICRO</v>
          </cell>
          <cell r="D189" t="str">
            <v>Reaterro e compactação em vala de dreno com geocomposto</v>
          </cell>
          <cell r="E189" t="str">
            <v>m³</v>
          </cell>
          <cell r="F189">
            <v>21.129554996141483</v>
          </cell>
          <cell r="G189">
            <v>21.129554996141483</v>
          </cell>
          <cell r="H189">
            <v>21.129554996141483</v>
          </cell>
          <cell r="I189">
            <v>0</v>
          </cell>
          <cell r="J189">
            <v>21.795634561414793</v>
          </cell>
          <cell r="K189">
            <v>21.795634561414793</v>
          </cell>
          <cell r="L189">
            <v>21.795634561414793</v>
          </cell>
          <cell r="W189" t="str">
            <v>M0218</v>
          </cell>
          <cell r="X189" t="str">
            <v>Adubo fósforo (30%) - Caminhão carroceria 9 t</v>
          </cell>
          <cell r="Y189" t="str">
            <v>kg</v>
          </cell>
          <cell r="Z189">
            <v>1.01</v>
          </cell>
          <cell r="AA189">
            <v>0</v>
          </cell>
          <cell r="BC189" t="str">
            <v>M0218</v>
          </cell>
          <cell r="BD189" t="str">
            <v>Adubo fósforo (30%) - Caminhão carroceria 9 t</v>
          </cell>
          <cell r="BE189" t="str">
            <v>kg</v>
          </cell>
          <cell r="BF189">
            <v>1.01</v>
          </cell>
          <cell r="BG189">
            <v>0</v>
          </cell>
          <cell r="CC189">
            <v>0</v>
          </cell>
          <cell r="CD189" t="str">
            <v>Fornecimento de emulsão RR-1C</v>
          </cell>
          <cell r="CE189" t="str">
            <v>t</v>
          </cell>
          <cell r="CF189" t="str">
            <v>0,00045 t</v>
          </cell>
          <cell r="CG189">
            <v>4.4999999999999999E-4</v>
          </cell>
          <cell r="CH189">
            <v>1</v>
          </cell>
          <cell r="CI189" t="str">
            <v>CPU04</v>
          </cell>
          <cell r="CJ189">
            <v>2511.8507594331254</v>
          </cell>
          <cell r="CK189">
            <v>1.1303328417449063</v>
          </cell>
          <cell r="CL189" t="str">
            <v>CPU04-1</v>
          </cell>
          <cell r="CM189">
            <v>2535.6603093736671</v>
          </cell>
          <cell r="CN189">
            <v>1.1410471392181503</v>
          </cell>
          <cell r="DN189" t="str">
            <v>Auxiliar de Segurança</v>
          </cell>
          <cell r="DO189">
            <v>1007.96</v>
          </cell>
          <cell r="DP189">
            <v>1115.1600000000001</v>
          </cell>
          <cell r="DQ189">
            <v>1.0335248790636142</v>
          </cell>
          <cell r="DR189">
            <v>1041.7517371009606</v>
          </cell>
          <cell r="DS189">
            <v>1626.5081623478343</v>
          </cell>
        </row>
        <row r="190">
          <cell r="B190">
            <v>2003349</v>
          </cell>
          <cell r="C190" t="str">
            <v>SICRO</v>
          </cell>
          <cell r="D190" t="str">
            <v>Sarjeta de canteiro central de concreto - SCC 01 - areia e brita comerciais</v>
          </cell>
          <cell r="E190" t="str">
            <v>m</v>
          </cell>
          <cell r="F190">
            <v>41.710940000000008</v>
          </cell>
          <cell r="G190">
            <v>41.710940000000008</v>
          </cell>
          <cell r="H190">
            <v>41.710940000000008</v>
          </cell>
          <cell r="I190">
            <v>0</v>
          </cell>
          <cell r="J190">
            <v>44.523842999999992</v>
          </cell>
          <cell r="K190">
            <v>44.523842999999992</v>
          </cell>
          <cell r="L190">
            <v>44.523842999999992</v>
          </cell>
          <cell r="W190" t="str">
            <v>M0219</v>
          </cell>
          <cell r="X190" t="str">
            <v>Adubo potássio - Caminhão carroceria 9 t</v>
          </cell>
          <cell r="Y190" t="str">
            <v>kg</v>
          </cell>
          <cell r="Z190">
            <v>1.746</v>
          </cell>
          <cell r="AA190">
            <v>0</v>
          </cell>
          <cell r="BC190" t="str">
            <v>M0219</v>
          </cell>
          <cell r="BD190" t="str">
            <v>Adubo potássio - Caminhão carroceria 9 t</v>
          </cell>
          <cell r="BE190" t="str">
            <v>kg</v>
          </cell>
          <cell r="BF190">
            <v>1.913</v>
          </cell>
          <cell r="BG190">
            <v>0</v>
          </cell>
          <cell r="CC190">
            <v>0</v>
          </cell>
          <cell r="CD190" t="str">
            <v>Pintura de faixa - tinta base acrílica - espessura de 0,6 mm</v>
          </cell>
          <cell r="CE190" t="str">
            <v>m²</v>
          </cell>
          <cell r="CF190" t="str">
            <v>não aplicada</v>
          </cell>
          <cell r="CG190">
            <v>0</v>
          </cell>
          <cell r="CH190">
            <v>1</v>
          </cell>
          <cell r="CI190">
            <v>5213401</v>
          </cell>
          <cell r="CJ190">
            <v>20.390807290896916</v>
          </cell>
          <cell r="CK190">
            <v>0</v>
          </cell>
          <cell r="CL190">
            <v>5213401</v>
          </cell>
          <cell r="CM190">
            <v>22.71825438768407</v>
          </cell>
          <cell r="CN190">
            <v>0</v>
          </cell>
          <cell r="DN190" t="str">
            <v>Vigilante</v>
          </cell>
          <cell r="DO190">
            <v>1124.83</v>
          </cell>
          <cell r="DP190">
            <v>1272.31</v>
          </cell>
          <cell r="DQ190">
            <v>1.0335248790636142</v>
          </cell>
          <cell r="DR190">
            <v>1162.5397897171251</v>
          </cell>
          <cell r="DS190">
            <v>1717.5944328256842</v>
          </cell>
        </row>
        <row r="191">
          <cell r="B191">
            <v>2003351</v>
          </cell>
          <cell r="C191" t="str">
            <v>SICRO</v>
          </cell>
          <cell r="D191" t="str">
            <v>Sarjeta de canteiro central de concreto - SCC 02 - areia e brita comerciais</v>
          </cell>
          <cell r="E191" t="str">
            <v>m</v>
          </cell>
          <cell r="F191">
            <v>55.784490000000005</v>
          </cell>
          <cell r="G191">
            <v>55.784490000000005</v>
          </cell>
          <cell r="H191">
            <v>55.784490000000005</v>
          </cell>
          <cell r="I191">
            <v>0</v>
          </cell>
          <cell r="J191">
            <v>59.551747999999996</v>
          </cell>
          <cell r="K191">
            <v>59.551747999999996</v>
          </cell>
          <cell r="L191">
            <v>59.551747999999996</v>
          </cell>
          <cell r="W191" t="str">
            <v>M0220</v>
          </cell>
          <cell r="X191" t="str">
            <v>Adubo NPK - Caminhão carroceria 9 t</v>
          </cell>
          <cell r="Y191" t="str">
            <v>kg</v>
          </cell>
          <cell r="Z191">
            <v>1.3452</v>
          </cell>
          <cell r="AA191">
            <v>0</v>
          </cell>
          <cell r="BC191" t="str">
            <v>M0220</v>
          </cell>
          <cell r="BD191" t="str">
            <v>Adubo NPK - Caminhão carroceria 9 t</v>
          </cell>
          <cell r="BE191" t="str">
            <v>kg</v>
          </cell>
          <cell r="BF191">
            <v>1.347</v>
          </cell>
          <cell r="BG191">
            <v>0</v>
          </cell>
          <cell r="CC191">
            <v>0</v>
          </cell>
          <cell r="CD191" t="str">
            <v>Tacha refletiva monodirecional - fornecimento e colocação</v>
          </cell>
          <cell r="CE191" t="str">
            <v>un</v>
          </cell>
          <cell r="CF191" t="str">
            <v>não aplicada</v>
          </cell>
          <cell r="CG191">
            <v>0</v>
          </cell>
          <cell r="CH191">
            <v>1</v>
          </cell>
          <cell r="CI191">
            <v>5213359</v>
          </cell>
          <cell r="CJ191">
            <v>12.189996472111552</v>
          </cell>
          <cell r="CK191">
            <v>0</v>
          </cell>
          <cell r="CL191">
            <v>5213359</v>
          </cell>
          <cell r="CM191">
            <v>14.739324009960159</v>
          </cell>
          <cell r="CN191">
            <v>0</v>
          </cell>
        </row>
        <row r="192">
          <cell r="B192">
            <v>2003343</v>
          </cell>
          <cell r="C192" t="str">
            <v>SICRO</v>
          </cell>
          <cell r="D192" t="str">
            <v>Sarjeta trapezoidal de concreto - SZC 01 - areia e brita comerciais</v>
          </cell>
          <cell r="E192" t="str">
            <v>m</v>
          </cell>
          <cell r="F192">
            <v>55.035544000000002</v>
          </cell>
          <cell r="G192">
            <v>55.035544000000002</v>
          </cell>
          <cell r="H192">
            <v>55.035544000000002</v>
          </cell>
          <cell r="I192">
            <v>0</v>
          </cell>
          <cell r="J192">
            <v>57.944369000000002</v>
          </cell>
          <cell r="K192">
            <v>57.944369000000002</v>
          </cell>
          <cell r="L192">
            <v>57.944369000000002</v>
          </cell>
          <cell r="W192" t="str">
            <v>M0223</v>
          </cell>
          <cell r="X192" t="str">
            <v>Sementes para hidrossemeadura - Caminhão carroceria 15 t</v>
          </cell>
          <cell r="Y192" t="str">
            <v>kg</v>
          </cell>
          <cell r="Z192">
            <v>11.2</v>
          </cell>
          <cell r="AA192">
            <v>0</v>
          </cell>
          <cell r="BC192" t="str">
            <v>M0223</v>
          </cell>
          <cell r="BD192" t="str">
            <v>Sementes para hidrossemeadura - Caminhão carroceria 15 t</v>
          </cell>
          <cell r="BE192" t="str">
            <v>kg</v>
          </cell>
          <cell r="BF192">
            <v>16.149999999999999</v>
          </cell>
          <cell r="BG192">
            <v>0</v>
          </cell>
          <cell r="CC192">
            <v>0</v>
          </cell>
          <cell r="CD192" t="str">
            <v>Tacha refletiva metálica com dois pinos - bidirecional - fornecimento e colocação</v>
          </cell>
          <cell r="CE192" t="str">
            <v>un</v>
          </cell>
          <cell r="CF192" t="str">
            <v>não aplicada</v>
          </cell>
          <cell r="CG192">
            <v>0</v>
          </cell>
          <cell r="CH192">
            <v>1</v>
          </cell>
          <cell r="CI192">
            <v>5213395</v>
          </cell>
          <cell r="CJ192">
            <v>32.534966247709477</v>
          </cell>
          <cell r="CK192">
            <v>0</v>
          </cell>
          <cell r="CL192">
            <v>5213395</v>
          </cell>
          <cell r="CM192">
            <v>34.530034902548728</v>
          </cell>
          <cell r="CN192">
            <v>0</v>
          </cell>
        </row>
        <row r="193">
          <cell r="B193">
            <v>2003973</v>
          </cell>
          <cell r="C193" t="str">
            <v>SICRO</v>
          </cell>
          <cell r="D193" t="str">
            <v>Sarjeta trapezoidal de concreto - SZC 02 moldada no local com extrusora e concreto usinado - areia e brita comerciais</v>
          </cell>
          <cell r="E193" t="str">
            <v>m</v>
          </cell>
          <cell r="F193">
            <v>36.54651727015559</v>
          </cell>
          <cell r="G193">
            <v>36.54651727015559</v>
          </cell>
          <cell r="H193">
            <v>36.54651727015559</v>
          </cell>
          <cell r="I193">
            <v>0</v>
          </cell>
          <cell r="J193">
            <v>38.427352314002832</v>
          </cell>
          <cell r="K193">
            <v>38.427352314002832</v>
          </cell>
          <cell r="L193">
            <v>38.427352314002832</v>
          </cell>
          <cell r="W193" t="str">
            <v>M0225</v>
          </cell>
          <cell r="X193" t="str">
            <v>Adubo orgânico - Caminhão carroceria 9 t</v>
          </cell>
          <cell r="Y193" t="str">
            <v>kg</v>
          </cell>
          <cell r="Z193">
            <v>0.19950000000000001</v>
          </cell>
          <cell r="AA193">
            <v>0</v>
          </cell>
          <cell r="BC193" t="str">
            <v>M0225</v>
          </cell>
          <cell r="BD193" t="str">
            <v>Adubo orgânico - Caminhão carroceria 9 t</v>
          </cell>
          <cell r="BE193" t="str">
            <v>kg</v>
          </cell>
          <cell r="BF193">
            <v>0.19950000000000001</v>
          </cell>
          <cell r="BG193">
            <v>0</v>
          </cell>
          <cell r="CC193" t="str">
            <v>R4-AB</v>
          </cell>
          <cell r="CD193" t="str">
            <v xml:space="preserve"> REFORÇO: (4cm) BINDER - Aplicado apenas nos acostamentos (não tem pintura e tachas)</v>
          </cell>
          <cell r="CE193">
            <v>0</v>
          </cell>
          <cell r="CF193">
            <v>0</v>
          </cell>
          <cell r="CG193">
            <v>0</v>
          </cell>
          <cell r="CH193">
            <v>0</v>
          </cell>
          <cell r="CI193">
            <v>0</v>
          </cell>
          <cell r="CJ193">
            <v>0</v>
          </cell>
          <cell r="CK193">
            <v>37.790795867587121</v>
          </cell>
          <cell r="CL193">
            <v>0</v>
          </cell>
          <cell r="CM193">
            <v>0</v>
          </cell>
          <cell r="CN193">
            <v>39.052905393005076</v>
          </cell>
        </row>
        <row r="194">
          <cell r="B194">
            <v>2003319</v>
          </cell>
          <cell r="C194" t="str">
            <v>SICRO</v>
          </cell>
          <cell r="D194" t="str">
            <v>Sarjeta triangular de concreto - STC 01 - areia e brita comerciais</v>
          </cell>
          <cell r="E194" t="str">
            <v>m</v>
          </cell>
          <cell r="F194">
            <v>70.967031000000006</v>
          </cell>
          <cell r="G194">
            <v>70.967031000000006</v>
          </cell>
          <cell r="H194">
            <v>70.967031000000006</v>
          </cell>
          <cell r="I194">
            <v>0</v>
          </cell>
          <cell r="J194">
            <v>74.821934999999996</v>
          </cell>
          <cell r="K194">
            <v>74.821934999999996</v>
          </cell>
          <cell r="L194">
            <v>74.821934999999996</v>
          </cell>
          <cell r="W194" t="str">
            <v>M1755</v>
          </cell>
          <cell r="X194" t="str">
            <v>Pó calcário - Caminhão carroceria 5 t</v>
          </cell>
          <cell r="Y194" t="str">
            <v>kg</v>
          </cell>
          <cell r="Z194">
            <v>0.17649999999999999</v>
          </cell>
          <cell r="AA194">
            <v>0</v>
          </cell>
          <cell r="BC194" t="str">
            <v>M1755</v>
          </cell>
          <cell r="BD194" t="str">
            <v>Pó calcário - Caminhão carroceria 5 t</v>
          </cell>
          <cell r="BE194" t="str">
            <v>kg</v>
          </cell>
          <cell r="BF194">
            <v>0.13750000000000001</v>
          </cell>
          <cell r="BG194">
            <v>0</v>
          </cell>
          <cell r="CC194" t="str">
            <v>(m²)</v>
          </cell>
          <cell r="CD194" t="str">
            <v>Concreto asfáltico - faixa B - areia e brita comerciais</v>
          </cell>
          <cell r="CE194" t="str">
            <v>t</v>
          </cell>
          <cell r="CF194">
            <v>4</v>
          </cell>
          <cell r="CG194">
            <v>9.6000000000000002E-2</v>
          </cell>
          <cell r="CH194">
            <v>1</v>
          </cell>
          <cell r="CI194">
            <v>4011459</v>
          </cell>
          <cell r="CJ194">
            <v>123.09799260452866</v>
          </cell>
          <cell r="CK194">
            <v>15.522164475460645</v>
          </cell>
          <cell r="CL194">
            <v>4011459</v>
          </cell>
          <cell r="CM194">
            <v>128.04956019277108</v>
          </cell>
          <cell r="CN194">
            <v>16.14653734206766</v>
          </cell>
        </row>
        <row r="195">
          <cell r="B195">
            <v>2003321</v>
          </cell>
          <cell r="C195" t="str">
            <v>SICRO</v>
          </cell>
          <cell r="D195" t="str">
            <v>Sarjeta triangular de concreto - STC 02 - areia e brita comerciais</v>
          </cell>
          <cell r="E195" t="str">
            <v>m</v>
          </cell>
          <cell r="F195">
            <v>59.115332000000002</v>
          </cell>
          <cell r="G195">
            <v>59.115332000000002</v>
          </cell>
          <cell r="H195">
            <v>59.115332000000002</v>
          </cell>
          <cell r="I195">
            <v>0</v>
          </cell>
          <cell r="J195">
            <v>62.333993000000007</v>
          </cell>
          <cell r="K195">
            <v>62.333993000000007</v>
          </cell>
          <cell r="L195">
            <v>62.333993000000007</v>
          </cell>
          <cell r="W195" t="str">
            <v>M1756</v>
          </cell>
          <cell r="X195" t="str">
            <v>Material formador da camada protetora de hidrossemeadura - Caminhão carroceria 9 t</v>
          </cell>
          <cell r="Y195" t="str">
            <v>kg</v>
          </cell>
          <cell r="Z195">
            <v>1.2</v>
          </cell>
          <cell r="AA195">
            <v>0</v>
          </cell>
          <cell r="BC195" t="str">
            <v>M1756</v>
          </cell>
          <cell r="BD195" t="str">
            <v>Material formador da camada protetora de hidrossemeadura - Caminhão carroceria 9 t</v>
          </cell>
          <cell r="BE195" t="str">
            <v>kg</v>
          </cell>
          <cell r="BF195">
            <v>1.2</v>
          </cell>
          <cell r="BG195">
            <v>0</v>
          </cell>
          <cell r="CC195">
            <v>0</v>
          </cell>
          <cell r="CD195" t="str">
            <v>Fornecimento de CAP 50/70</v>
          </cell>
          <cell r="CE195" t="str">
            <v>t</v>
          </cell>
          <cell r="CF195" t="str">
            <v>0,04762 t</v>
          </cell>
          <cell r="CG195">
            <v>4.6629504E-3</v>
          </cell>
          <cell r="CH195">
            <v>1</v>
          </cell>
          <cell r="CI195" t="str">
            <v>CPU10</v>
          </cell>
          <cell r="CJ195">
            <v>4481.4349761078774</v>
          </cell>
          <cell r="CK195">
            <v>20.896709014416217</v>
          </cell>
          <cell r="CL195" t="str">
            <v>CPU10-1</v>
          </cell>
          <cell r="CM195">
            <v>4614.4401264709131</v>
          </cell>
          <cell r="CN195">
            <v>21.516905433503595</v>
          </cell>
        </row>
        <row r="196">
          <cell r="B196">
            <v>2003338</v>
          </cell>
          <cell r="C196" t="str">
            <v>SICRO</v>
          </cell>
          <cell r="D196" t="str">
            <v>Sarjeta triangular de grama - STG 01</v>
          </cell>
          <cell r="E196" t="str">
            <v>m</v>
          </cell>
          <cell r="F196">
            <v>27.426860999999999</v>
          </cell>
          <cell r="G196">
            <v>27.426860999999999</v>
          </cell>
          <cell r="H196">
            <v>27.426860999999999</v>
          </cell>
          <cell r="I196">
            <v>0</v>
          </cell>
          <cell r="J196">
            <v>28.191832000000002</v>
          </cell>
          <cell r="K196">
            <v>28.191832000000002</v>
          </cell>
          <cell r="L196">
            <v>28.191832000000002</v>
          </cell>
          <cell r="W196">
            <v>5914647</v>
          </cell>
          <cell r="X196" t="str">
            <v>Carga, manobra e descarga de areia, brita, pedra de mão ou solos em caminhão basculante de 10 m³ - carga com carregadeira (exclusa) e descarga livre</v>
          </cell>
          <cell r="Y196" t="str">
            <v>t</v>
          </cell>
          <cell r="Z196">
            <v>0.99</v>
          </cell>
          <cell r="AA196">
            <v>0</v>
          </cell>
          <cell r="BC196">
            <v>5914647</v>
          </cell>
          <cell r="BD196" t="str">
            <v>Carga, manobra e descarga de areia, brita, pedra de mão ou solos em caminhão basculante de 10 m³ - carga com carregadeira (exclusa) e descarga livre</v>
          </cell>
          <cell r="BE196" t="str">
            <v>t</v>
          </cell>
          <cell r="BF196">
            <v>0.99</v>
          </cell>
          <cell r="BG196">
            <v>0</v>
          </cell>
          <cell r="CC196">
            <v>0</v>
          </cell>
          <cell r="CD196" t="str">
            <v>Pintura de ligação</v>
          </cell>
          <cell r="CE196" t="str">
            <v>m²</v>
          </cell>
          <cell r="CF196">
            <v>1</v>
          </cell>
          <cell r="CG196">
            <v>1</v>
          </cell>
          <cell r="CH196">
            <v>1</v>
          </cell>
          <cell r="CI196">
            <v>4011353</v>
          </cell>
          <cell r="CJ196">
            <v>0.18392808219669335</v>
          </cell>
          <cell r="CK196">
            <v>0.24158953596535671</v>
          </cell>
          <cell r="CL196">
            <v>4011353</v>
          </cell>
          <cell r="CM196">
            <v>0.18912484066666665</v>
          </cell>
          <cell r="CN196">
            <v>0.24841547821566662</v>
          </cell>
        </row>
        <row r="197">
          <cell r="B197">
            <v>2003315</v>
          </cell>
          <cell r="C197" t="str">
            <v>SICRO</v>
          </cell>
          <cell r="D197" t="str">
            <v>Valeta de proteção de aterros com revestimento de concreto - VPA 04 - areia e brita comerciais</v>
          </cell>
          <cell r="E197" t="str">
            <v>m</v>
          </cell>
          <cell r="F197">
            <v>84.142817000000008</v>
          </cell>
          <cell r="G197">
            <v>84.142817000000008</v>
          </cell>
          <cell r="H197">
            <v>84.142817000000008</v>
          </cell>
          <cell r="I197">
            <v>0</v>
          </cell>
          <cell r="J197">
            <v>88.284312999999997</v>
          </cell>
          <cell r="K197">
            <v>88.284312999999997</v>
          </cell>
          <cell r="L197">
            <v>88.284312999999997</v>
          </cell>
          <cell r="W197">
            <v>5914675</v>
          </cell>
          <cell r="X197" t="str">
            <v>Carga, manobra e descarga de demolição de concreto asfáltico ou concreto cimento solto em caminhão basculante de 6 m³ - carga com carregadeira e descarga livre</v>
          </cell>
          <cell r="Y197" t="str">
            <v>t</v>
          </cell>
          <cell r="Z197">
            <v>2.71</v>
          </cell>
          <cell r="AA197">
            <v>0</v>
          </cell>
          <cell r="BC197">
            <v>5914675</v>
          </cell>
          <cell r="BD197" t="str">
            <v>Carga, manobra e descarga de demolição de concreto asfáltico ou concreto cimento solto em caminhão basculante de 6 m³ - carga com carregadeira e descarga livre</v>
          </cell>
          <cell r="BE197" t="str">
            <v>t</v>
          </cell>
          <cell r="BF197">
            <v>2.69</v>
          </cell>
          <cell r="BG197">
            <v>0</v>
          </cell>
          <cell r="CC197">
            <v>0</v>
          </cell>
          <cell r="CD197" t="str">
            <v>Fornecimento de emulsão RR-1C</v>
          </cell>
          <cell r="CE197" t="str">
            <v>t</v>
          </cell>
          <cell r="CF197" t="str">
            <v>0,00045 t</v>
          </cell>
          <cell r="CG197">
            <v>4.4999999999999999E-4</v>
          </cell>
          <cell r="CH197">
            <v>1</v>
          </cell>
          <cell r="CI197" t="str">
            <v>CPU04</v>
          </cell>
          <cell r="CJ197">
            <v>2511.8507594331254</v>
          </cell>
          <cell r="CK197">
            <v>1.1303328417449063</v>
          </cell>
          <cell r="CL197" t="str">
            <v>CPU04-1</v>
          </cell>
          <cell r="CM197">
            <v>2535.6603093736671</v>
          </cell>
          <cell r="CN197">
            <v>1.1410471392181503</v>
          </cell>
        </row>
        <row r="198">
          <cell r="B198">
            <v>2003310</v>
          </cell>
          <cell r="C198" t="str">
            <v>SICRO</v>
          </cell>
          <cell r="D198" t="str">
            <v>Valeta de proteção de aterros com revestimento vegetal - VPA 01</v>
          </cell>
          <cell r="E198" t="str">
            <v>m</v>
          </cell>
          <cell r="F198">
            <v>61.155950000000004</v>
          </cell>
          <cell r="G198">
            <v>61.155950000000004</v>
          </cell>
          <cell r="H198">
            <v>61.155950000000004</v>
          </cell>
          <cell r="I198">
            <v>0</v>
          </cell>
          <cell r="J198">
            <v>62.849820000000008</v>
          </cell>
          <cell r="K198">
            <v>62.849820000000008</v>
          </cell>
          <cell r="L198">
            <v>62.849820000000008</v>
          </cell>
          <cell r="W198">
            <v>5914354</v>
          </cell>
          <cell r="X198" t="str">
            <v>Carga, manobra e descarga de material de jazida em caminhão basculante de 10 m³ - carga com escavadeira (exclusa) e descarga livre</v>
          </cell>
          <cell r="Y198" t="str">
            <v>t</v>
          </cell>
          <cell r="Z198">
            <v>1.32</v>
          </cell>
          <cell r="AA198">
            <v>0</v>
          </cell>
          <cell r="BC198">
            <v>5914354</v>
          </cell>
          <cell r="BD198" t="str">
            <v>Carga, manobra e descarga de material de jazida em caminhão basculante de 10 m³ - carga com escavadeira (exclusa) e descarga livre</v>
          </cell>
          <cell r="BE198" t="str">
            <v>t</v>
          </cell>
          <cell r="BF198">
            <v>1.32</v>
          </cell>
          <cell r="BG198">
            <v>0</v>
          </cell>
          <cell r="CC198">
            <v>0</v>
          </cell>
          <cell r="CD198" t="str">
            <v>Pintura de faixa - tinta base acrílica - espessura de 0,6 mm</v>
          </cell>
          <cell r="CE198" t="str">
            <v>m²</v>
          </cell>
          <cell r="CF198" t="str">
            <v>não aplicada</v>
          </cell>
          <cell r="CG198">
            <v>0</v>
          </cell>
          <cell r="CH198">
            <v>1</v>
          </cell>
          <cell r="CI198">
            <v>5213401</v>
          </cell>
          <cell r="CJ198">
            <v>20.390807290896916</v>
          </cell>
          <cell r="CK198">
            <v>0</v>
          </cell>
          <cell r="CL198">
            <v>5213401</v>
          </cell>
          <cell r="CM198">
            <v>22.71825438768407</v>
          </cell>
          <cell r="CN198">
            <v>0</v>
          </cell>
        </row>
        <row r="199">
          <cell r="B199">
            <v>2003311</v>
          </cell>
          <cell r="C199" t="str">
            <v>SICRO</v>
          </cell>
          <cell r="D199" t="str">
            <v>Valeta de proteção de aterros com revestimento vegetal - VPA 02</v>
          </cell>
          <cell r="E199" t="str">
            <v>m</v>
          </cell>
          <cell r="F199">
            <v>47.500600000000006</v>
          </cell>
          <cell r="G199">
            <v>47.500600000000006</v>
          </cell>
          <cell r="H199">
            <v>47.500600000000006</v>
          </cell>
          <cell r="I199">
            <v>0</v>
          </cell>
          <cell r="J199">
            <v>48.818200000000004</v>
          </cell>
          <cell r="K199">
            <v>48.818200000000004</v>
          </cell>
          <cell r="L199">
            <v>48.818200000000004</v>
          </cell>
          <cell r="W199">
            <v>5914651</v>
          </cell>
          <cell r="X199" t="str">
            <v>Carga, manobra e descarga de brita para base em caminhão basculante de 10 m³ - carga com carregadeira (exclusa) e descarga no distribuidor autopropelido</v>
          </cell>
          <cell r="Y199" t="str">
            <v>t</v>
          </cell>
          <cell r="Z199">
            <v>1.43</v>
          </cell>
          <cell r="AA199">
            <v>0</v>
          </cell>
          <cell r="BC199">
            <v>5914651</v>
          </cell>
          <cell r="BD199" t="str">
            <v>Carga, manobra e descarga de brita para base em caminhão basculante de 10 m³ - carga com carregadeira (exclusa) e descarga no distribuidor autopropelido</v>
          </cell>
          <cell r="BE199" t="str">
            <v>t</v>
          </cell>
          <cell r="BF199">
            <v>1.42</v>
          </cell>
          <cell r="BG199">
            <v>0</v>
          </cell>
          <cell r="CC199">
            <v>0</v>
          </cell>
          <cell r="CD199" t="str">
            <v>Tacha refletiva monodirecional - fornecimento e colocação</v>
          </cell>
          <cell r="CE199" t="str">
            <v>un</v>
          </cell>
          <cell r="CF199" t="str">
            <v>não aplicada</v>
          </cell>
          <cell r="CG199">
            <v>0</v>
          </cell>
          <cell r="CH199">
            <v>1</v>
          </cell>
          <cell r="CI199">
            <v>5213359</v>
          </cell>
          <cell r="CJ199">
            <v>12.189996472111552</v>
          </cell>
          <cell r="CK199">
            <v>0</v>
          </cell>
          <cell r="CL199">
            <v>5213359</v>
          </cell>
          <cell r="CM199">
            <v>14.739324009960159</v>
          </cell>
          <cell r="CN199">
            <v>0</v>
          </cell>
        </row>
        <row r="200">
          <cell r="B200">
            <v>2003309</v>
          </cell>
          <cell r="C200" t="str">
            <v>SICRO</v>
          </cell>
          <cell r="D200" t="str">
            <v>Valeta de proteção de cortes com revestimento de concreto - VPC 04 - areia e brita comerciais</v>
          </cell>
          <cell r="E200" t="str">
            <v>m</v>
          </cell>
          <cell r="F200">
            <v>85.063817</v>
          </cell>
          <cell r="G200">
            <v>85.063817</v>
          </cell>
          <cell r="H200">
            <v>85.063817</v>
          </cell>
          <cell r="I200">
            <v>0</v>
          </cell>
          <cell r="J200">
            <v>89.231313</v>
          </cell>
          <cell r="K200">
            <v>89.231313</v>
          </cell>
          <cell r="L200">
            <v>89.231313</v>
          </cell>
          <cell r="W200">
            <v>5914652</v>
          </cell>
          <cell r="X200" t="str">
            <v>Carga, manobra e descarga de mistura de solos e agregados em caminhão basculante de 10 m³ - carga de usina de solos e descarga no distribuidor autopropelido</v>
          </cell>
          <cell r="Y200" t="str">
            <v>t</v>
          </cell>
          <cell r="Z200">
            <v>1.91</v>
          </cell>
          <cell r="AA200">
            <v>0</v>
          </cell>
          <cell r="BC200">
            <v>5914652</v>
          </cell>
          <cell r="BD200" t="str">
            <v>Carga, manobra e descarga de mistura de solos e agregados em caminhão basculante de 10 m³ - carga de usina de solos e descarga no distribuidor autopropelido</v>
          </cell>
          <cell r="BE200" t="str">
            <v>t</v>
          </cell>
          <cell r="BF200">
            <v>1.9</v>
          </cell>
          <cell r="BG200">
            <v>0</v>
          </cell>
          <cell r="CC200">
            <v>0</v>
          </cell>
          <cell r="CD200" t="str">
            <v>Tacha refletiva metálica com dois pinos - bidirecional - fornecimento e colocação</v>
          </cell>
          <cell r="CE200" t="str">
            <v>un</v>
          </cell>
          <cell r="CF200" t="str">
            <v>não aplicada</v>
          </cell>
          <cell r="CG200">
            <v>0</v>
          </cell>
          <cell r="CH200">
            <v>1</v>
          </cell>
          <cell r="CI200">
            <v>5213395</v>
          </cell>
          <cell r="CJ200">
            <v>32.534966247709477</v>
          </cell>
          <cell r="CK200">
            <v>0</v>
          </cell>
          <cell r="CL200">
            <v>5213395</v>
          </cell>
          <cell r="CM200">
            <v>34.530034902548728</v>
          </cell>
          <cell r="CN200">
            <v>0</v>
          </cell>
        </row>
        <row r="201">
          <cell r="B201">
            <v>2003304</v>
          </cell>
          <cell r="C201" t="str">
            <v>SICRO</v>
          </cell>
          <cell r="D201" t="str">
            <v>Valeta de proteção de cortes com revestimento vegetal - VPC 01</v>
          </cell>
          <cell r="E201" t="str">
            <v>m</v>
          </cell>
          <cell r="F201">
            <v>62.997950000000003</v>
          </cell>
          <cell r="G201">
            <v>62.997950000000003</v>
          </cell>
          <cell r="H201">
            <v>62.997950000000003</v>
          </cell>
          <cell r="I201">
            <v>0</v>
          </cell>
          <cell r="J201">
            <v>64.743819999999999</v>
          </cell>
          <cell r="K201">
            <v>64.743819999999999</v>
          </cell>
          <cell r="L201">
            <v>64.743819999999999</v>
          </cell>
          <cell r="W201">
            <v>5914649</v>
          </cell>
          <cell r="X201" t="str">
            <v>Carga, manobra e descarga de mistura betuminosa a quente em caminhão basculante de 10 m³ - carga de usina de asfalto 90/120 t/h e descarga em vibro-acabadora</v>
          </cell>
          <cell r="Y201" t="str">
            <v>t</v>
          </cell>
          <cell r="Z201">
            <v>7.12</v>
          </cell>
          <cell r="AA201">
            <v>0</v>
          </cell>
          <cell r="BC201">
            <v>5914649</v>
          </cell>
          <cell r="BD201" t="str">
            <v>Carga, manobra e descarga de mistura betuminosa a quente em caminhão basculante de 10 m³ - carga de usina de asfalto 90/120 t/h e descarga em vibro-acabadora</v>
          </cell>
          <cell r="BE201" t="str">
            <v>t</v>
          </cell>
          <cell r="BF201">
            <v>7.09</v>
          </cell>
          <cell r="BG201">
            <v>0</v>
          </cell>
          <cell r="CC201" t="str">
            <v>R4,5-AB</v>
          </cell>
          <cell r="CD201" t="str">
            <v xml:space="preserve"> REFORÇO: (4,5cm) BINDER - Aplicado apenas nos acostamentos (não tem pintura e tachas)</v>
          </cell>
          <cell r="CE201">
            <v>0</v>
          </cell>
          <cell r="CF201">
            <v>0</v>
          </cell>
          <cell r="CG201">
            <v>0</v>
          </cell>
          <cell r="CH201">
            <v>0</v>
          </cell>
          <cell r="CI201">
            <v>0</v>
          </cell>
          <cell r="CJ201">
            <v>0</v>
          </cell>
          <cell r="CK201">
            <v>42.343155053821732</v>
          </cell>
          <cell r="CL201">
            <v>0</v>
          </cell>
          <cell r="CM201">
            <v>0</v>
          </cell>
          <cell r="CN201">
            <v>43.760835739951489</v>
          </cell>
        </row>
        <row r="202">
          <cell r="B202">
            <v>2003305</v>
          </cell>
          <cell r="C202" t="str">
            <v>SICRO</v>
          </cell>
          <cell r="D202" t="str">
            <v>Valeta de proteção de cortes com revestimento vegetal - VPC 02</v>
          </cell>
          <cell r="E202" t="str">
            <v>m</v>
          </cell>
          <cell r="F202">
            <v>47.503550000000004</v>
          </cell>
          <cell r="G202">
            <v>47.503550000000004</v>
          </cell>
          <cell r="H202">
            <v>47.503550000000004</v>
          </cell>
          <cell r="I202">
            <v>0</v>
          </cell>
          <cell r="J202">
            <v>48.82302</v>
          </cell>
          <cell r="K202">
            <v>48.82302</v>
          </cell>
          <cell r="L202">
            <v>48.82302</v>
          </cell>
          <cell r="W202">
            <v>5909007</v>
          </cell>
          <cell r="X202" t="str">
            <v>Carga, manobra e descarga de concreto com caminhão betoneira - carga em central de concreto de 30 m³/h</v>
          </cell>
          <cell r="Y202" t="str">
            <v>t</v>
          </cell>
          <cell r="Z202">
            <v>10.56</v>
          </cell>
          <cell r="AA202">
            <v>0</v>
          </cell>
          <cell r="BC202">
            <v>5909007</v>
          </cell>
          <cell r="BD202" t="str">
            <v>Carga, manobra e descarga de concreto com caminhão betoneira - carga em central de concreto de 30 m³/h</v>
          </cell>
          <cell r="BE202" t="str">
            <v>t</v>
          </cell>
          <cell r="BF202">
            <v>10.54</v>
          </cell>
          <cell r="BG202">
            <v>0</v>
          </cell>
          <cell r="CC202" t="str">
            <v>(m²)</v>
          </cell>
          <cell r="CD202" t="str">
            <v>Concreto asfáltico - faixa B - areia e brita comerciais</v>
          </cell>
          <cell r="CE202" t="str">
            <v>t</v>
          </cell>
          <cell r="CF202">
            <v>4.5</v>
          </cell>
          <cell r="CG202">
            <v>0.108</v>
          </cell>
          <cell r="CH202">
            <v>1</v>
          </cell>
          <cell r="CI202">
            <v>4011459</v>
          </cell>
          <cell r="CJ202">
            <v>123.09799260452866</v>
          </cell>
          <cell r="CK202">
            <v>17.462435034893225</v>
          </cell>
          <cell r="CL202">
            <v>4011459</v>
          </cell>
          <cell r="CM202">
            <v>128.04956019277108</v>
          </cell>
          <cell r="CN202">
            <v>18.164854509826117</v>
          </cell>
        </row>
        <row r="203">
          <cell r="B203">
            <v>2106235</v>
          </cell>
          <cell r="C203" t="str">
            <v>SICRO</v>
          </cell>
          <cell r="D203" t="str">
            <v>Escoramento metálico com quadro tubular contraventado - capacidade de carga de 2,0 a 3,8 t/m² - quadro de 1,0 x 1,0 x 1,2 m -</v>
          </cell>
          <cell r="E203" t="str">
            <v>m³</v>
          </cell>
          <cell r="F203">
            <v>8.2593948889999993</v>
          </cell>
          <cell r="G203">
            <v>8.2593948889999993</v>
          </cell>
          <cell r="H203">
            <v>8.2593948889999993</v>
          </cell>
          <cell r="I203">
            <v>0</v>
          </cell>
          <cell r="J203">
            <v>8.352882889</v>
          </cell>
          <cell r="K203">
            <v>8.352882889</v>
          </cell>
          <cell r="L203">
            <v>8.352882889</v>
          </cell>
          <cell r="W203">
            <v>5914655</v>
          </cell>
          <cell r="X203" t="str">
            <v>Carga, manobra e descarga de materiais diversos em caminhão carroceria de 15 t - carga e descarga manuais</v>
          </cell>
          <cell r="Y203" t="str">
            <v>t</v>
          </cell>
          <cell r="Z203">
            <v>24.56</v>
          </cell>
          <cell r="AA203">
            <v>0</v>
          </cell>
          <cell r="BC203">
            <v>5914655</v>
          </cell>
          <cell r="BD203" t="str">
            <v>Carga, manobra e descarga de materiais diversos em caminhão carroceria de 15 t - carga e descarga manuais</v>
          </cell>
          <cell r="BE203" t="str">
            <v>t</v>
          </cell>
          <cell r="BF203">
            <v>24.18</v>
          </cell>
          <cell r="BG203">
            <v>0</v>
          </cell>
          <cell r="CC203">
            <v>0</v>
          </cell>
          <cell r="CD203" t="str">
            <v>Fornecimento de CAP 50/70</v>
          </cell>
          <cell r="CE203" t="str">
            <v>t</v>
          </cell>
          <cell r="CF203" t="str">
            <v>0,04762 t</v>
          </cell>
          <cell r="CG203">
            <v>5.2458192000000006E-3</v>
          </cell>
          <cell r="CH203">
            <v>1</v>
          </cell>
          <cell r="CI203" t="str">
            <v>CPU10</v>
          </cell>
          <cell r="CJ203">
            <v>4481.4349761078774</v>
          </cell>
          <cell r="CK203">
            <v>23.508797641218248</v>
          </cell>
          <cell r="CL203" t="str">
            <v>CPU10-1</v>
          </cell>
          <cell r="CM203">
            <v>4614.4401264709131</v>
          </cell>
          <cell r="CN203">
            <v>24.206518612691546</v>
          </cell>
        </row>
        <row r="204">
          <cell r="B204">
            <v>2108165</v>
          </cell>
          <cell r="C204" t="str">
            <v>SICRO</v>
          </cell>
          <cell r="D204" t="str">
            <v>Escoramento com pontaletes D = 10 cm - utilização de 1 vez - confecção e instalação</v>
          </cell>
          <cell r="E204" t="str">
            <v>m³</v>
          </cell>
          <cell r="F204">
            <v>35.117593832470625</v>
          </cell>
          <cell r="G204">
            <v>35.117593832470625</v>
          </cell>
          <cell r="H204">
            <v>35.117593832470625</v>
          </cell>
          <cell r="I204">
            <v>0</v>
          </cell>
          <cell r="J204">
            <v>33.212003983443282</v>
          </cell>
          <cell r="K204">
            <v>33.212003983443282</v>
          </cell>
          <cell r="L204">
            <v>33.212003983443282</v>
          </cell>
          <cell r="W204">
            <v>5915474</v>
          </cell>
          <cell r="X204" t="str">
            <v>Carga, manobra e descarga de materiais diversos em caminhão carroceria 5 t - carga e descarga manuais</v>
          </cell>
          <cell r="Y204" t="str">
            <v>t</v>
          </cell>
          <cell r="Z204">
            <v>20.88</v>
          </cell>
          <cell r="AA204">
            <v>0</v>
          </cell>
          <cell r="BC204">
            <v>5915474</v>
          </cell>
          <cell r="BD204" t="str">
            <v>Carga, manobra e descarga de materiais diversos em caminhão carroceria 5 t - carga e descarga manuais</v>
          </cell>
          <cell r="BE204" t="str">
            <v>t</v>
          </cell>
          <cell r="BF204">
            <v>20.59</v>
          </cell>
          <cell r="BG204">
            <v>0</v>
          </cell>
          <cell r="CC204">
            <v>0</v>
          </cell>
          <cell r="CD204" t="str">
            <v>Pintura de ligação</v>
          </cell>
          <cell r="CE204" t="str">
            <v>m²</v>
          </cell>
          <cell r="CF204">
            <v>1</v>
          </cell>
          <cell r="CG204">
            <v>1</v>
          </cell>
          <cell r="CH204">
            <v>1</v>
          </cell>
          <cell r="CI204">
            <v>4011353</v>
          </cell>
          <cell r="CJ204">
            <v>0.18392808219669335</v>
          </cell>
          <cell r="CK204">
            <v>0.24158953596535671</v>
          </cell>
          <cell r="CL204">
            <v>4011353</v>
          </cell>
          <cell r="CM204">
            <v>0.18912484066666665</v>
          </cell>
          <cell r="CN204">
            <v>0.24841547821566662</v>
          </cell>
        </row>
        <row r="205">
          <cell r="B205">
            <v>2108168</v>
          </cell>
          <cell r="C205" t="str">
            <v>SICRO</v>
          </cell>
          <cell r="D205" t="str">
            <v>Escoramento com pontaletes D = 10 cm - utilização de 5 vezes - confecção, instalação e retirada</v>
          </cell>
          <cell r="E205" t="str">
            <v>m³</v>
          </cell>
          <cell r="F205">
            <v>22.357240028448761</v>
          </cell>
          <cell r="G205">
            <v>22.357240028448761</v>
          </cell>
          <cell r="H205">
            <v>22.357240028448761</v>
          </cell>
          <cell r="I205">
            <v>0</v>
          </cell>
          <cell r="J205">
            <v>22.857777236677485</v>
          </cell>
          <cell r="K205">
            <v>22.857777236677485</v>
          </cell>
          <cell r="L205">
            <v>22.857777236677485</v>
          </cell>
          <cell r="W205">
            <v>5914654</v>
          </cell>
          <cell r="X205" t="str">
            <v>Carga, manobra e descarga de materiais diversos em caminhão carroceria de 9 t - carga e descarga manuais</v>
          </cell>
          <cell r="Y205" t="str">
            <v>t</v>
          </cell>
          <cell r="Z205">
            <v>22.39</v>
          </cell>
          <cell r="AA205">
            <v>0</v>
          </cell>
          <cell r="BC205">
            <v>5914654</v>
          </cell>
          <cell r="BD205" t="str">
            <v>Carga, manobra e descarga de materiais diversos em caminhão carroceria de 9 t - carga e descarga manuais</v>
          </cell>
          <cell r="BE205" t="str">
            <v>t</v>
          </cell>
          <cell r="BF205">
            <v>22.04</v>
          </cell>
          <cell r="BG205">
            <v>0</v>
          </cell>
          <cell r="CC205">
            <v>0</v>
          </cell>
          <cell r="CD205" t="str">
            <v>Fornecimento de emulsão RR-1C</v>
          </cell>
          <cell r="CE205" t="str">
            <v>t</v>
          </cell>
          <cell r="CF205" t="str">
            <v>0,00045 t</v>
          </cell>
          <cell r="CG205">
            <v>4.4999999999999999E-4</v>
          </cell>
          <cell r="CH205">
            <v>1</v>
          </cell>
          <cell r="CI205" t="str">
            <v>CPU04</v>
          </cell>
          <cell r="CJ205">
            <v>2511.8507594331254</v>
          </cell>
          <cell r="CK205">
            <v>1.1303328417449063</v>
          </cell>
          <cell r="CL205" t="str">
            <v>CPU04-1</v>
          </cell>
          <cell r="CM205">
            <v>2535.6603093736671</v>
          </cell>
          <cell r="CN205">
            <v>1.1410471392181503</v>
          </cell>
        </row>
        <row r="206">
          <cell r="B206">
            <v>2306065</v>
          </cell>
          <cell r="C206" t="str">
            <v>SICRO</v>
          </cell>
          <cell r="D206" t="str">
            <v>Estaca raiz perfurada no solo com D = 31 cm - confecção</v>
          </cell>
          <cell r="E206" t="str">
            <v>m</v>
          </cell>
          <cell r="F206">
            <v>291.26472267321867</v>
          </cell>
          <cell r="G206">
            <v>291.26472267321867</v>
          </cell>
          <cell r="H206">
            <v>291.26472267321867</v>
          </cell>
          <cell r="I206">
            <v>0</v>
          </cell>
          <cell r="J206">
            <v>303.39864790221128</v>
          </cell>
          <cell r="K206">
            <v>303.39864790221128</v>
          </cell>
          <cell r="L206">
            <v>303.39864790221128</v>
          </cell>
          <cell r="W206" t="str">
            <v>E9507</v>
          </cell>
          <cell r="X206" t="str">
            <v>Computador, plotter de recorte e software</v>
          </cell>
          <cell r="Y206" t="str">
            <v>h</v>
          </cell>
          <cell r="Z206">
            <v>8.7266999999999992</v>
          </cell>
          <cell r="AA206">
            <v>5.4946000000000002</v>
          </cell>
          <cell r="BC206" t="str">
            <v>E9507</v>
          </cell>
          <cell r="BD206" t="str">
            <v>Computador, plotter de recorte e software</v>
          </cell>
          <cell r="BE206" t="str">
            <v>h</v>
          </cell>
          <cell r="BF206">
            <v>8.6755999999999993</v>
          </cell>
          <cell r="BG206">
            <v>5.4623999999999997</v>
          </cell>
          <cell r="CC206">
            <v>0</v>
          </cell>
          <cell r="CD206" t="str">
            <v>Pintura de faixa - tinta base acrílica - espessura de 0,6 mm</v>
          </cell>
          <cell r="CE206" t="str">
            <v>m²</v>
          </cell>
          <cell r="CF206" t="str">
            <v>não aplicada</v>
          </cell>
          <cell r="CG206">
            <v>0</v>
          </cell>
          <cell r="CH206">
            <v>1</v>
          </cell>
          <cell r="CI206">
            <v>5213401</v>
          </cell>
          <cell r="CJ206">
            <v>20.390807290896916</v>
          </cell>
          <cell r="CK206">
            <v>0</v>
          </cell>
          <cell r="CL206">
            <v>5213401</v>
          </cell>
          <cell r="CM206">
            <v>22.71825438768407</v>
          </cell>
          <cell r="CN206">
            <v>0</v>
          </cell>
        </row>
        <row r="207">
          <cell r="B207">
            <v>2306066</v>
          </cell>
          <cell r="C207" t="str">
            <v>SICRO</v>
          </cell>
          <cell r="D207" t="str">
            <v>Estaca raiz perfurada no solo com D = 40 cm - confecção</v>
          </cell>
          <cell r="E207" t="str">
            <v>m</v>
          </cell>
          <cell r="F207">
            <v>351.9609706495238</v>
          </cell>
          <cell r="G207">
            <v>351.9609706495238</v>
          </cell>
          <cell r="H207">
            <v>351.9609706495238</v>
          </cell>
          <cell r="I207">
            <v>0</v>
          </cell>
          <cell r="J207">
            <v>366.99863016825395</v>
          </cell>
          <cell r="K207">
            <v>366.99863016825395</v>
          </cell>
          <cell r="L207">
            <v>366.99863016825395</v>
          </cell>
          <cell r="W207" t="str">
            <v>E9568</v>
          </cell>
          <cell r="X207" t="str">
            <v>Furadeira de impacto de 12,5 mm - 0,8 kW</v>
          </cell>
          <cell r="Y207" t="str">
            <v>h</v>
          </cell>
          <cell r="Z207">
            <v>0.13250000000000001</v>
          </cell>
          <cell r="AA207">
            <v>8.77E-2</v>
          </cell>
          <cell r="BC207" t="str">
            <v>E9568</v>
          </cell>
          <cell r="BD207" t="str">
            <v>Furadeira de impacto de 12,5 mm - 0,8 kW</v>
          </cell>
          <cell r="BE207" t="str">
            <v>h</v>
          </cell>
          <cell r="BF207">
            <v>0.13170000000000001</v>
          </cell>
          <cell r="BG207">
            <v>8.72E-2</v>
          </cell>
          <cell r="CC207">
            <v>0</v>
          </cell>
          <cell r="CD207" t="str">
            <v>Tacha refletiva monodirecional - fornecimento e colocação</v>
          </cell>
          <cell r="CE207" t="str">
            <v>un</v>
          </cell>
          <cell r="CF207" t="str">
            <v>não aplicada</v>
          </cell>
          <cell r="CG207">
            <v>0</v>
          </cell>
          <cell r="CH207">
            <v>1</v>
          </cell>
          <cell r="CI207">
            <v>5213359</v>
          </cell>
          <cell r="CJ207">
            <v>12.189996472111552</v>
          </cell>
          <cell r="CK207">
            <v>0</v>
          </cell>
          <cell r="CL207">
            <v>5213359</v>
          </cell>
          <cell r="CM207">
            <v>14.739324009960159</v>
          </cell>
          <cell r="CN207">
            <v>0</v>
          </cell>
        </row>
        <row r="208">
          <cell r="B208">
            <v>2407972</v>
          </cell>
          <cell r="C208" t="str">
            <v>SICRO</v>
          </cell>
          <cell r="D208" t="str">
            <v>Fornecimento e aplicação de adesivo estrutural à base de resina epóxi</v>
          </cell>
          <cell r="E208" t="str">
            <v>kg</v>
          </cell>
          <cell r="F208">
            <v>55.830979999999997</v>
          </cell>
          <cell r="G208">
            <v>55.830979999999997</v>
          </cell>
          <cell r="H208">
            <v>55.830979999999997</v>
          </cell>
          <cell r="I208">
            <v>0</v>
          </cell>
          <cell r="J208">
            <v>48.157679999999999</v>
          </cell>
          <cell r="K208">
            <v>48.157679999999999</v>
          </cell>
          <cell r="L208">
            <v>48.157679999999999</v>
          </cell>
          <cell r="W208" t="str">
            <v>E9066</v>
          </cell>
          <cell r="X208" t="str">
            <v>Grupo gerador - 13 / 14 kVA</v>
          </cell>
          <cell r="Y208" t="str">
            <v>h</v>
          </cell>
          <cell r="Z208">
            <v>8.5444999999999993</v>
          </cell>
          <cell r="AA208">
            <v>1.8742000000000001</v>
          </cell>
          <cell r="BC208" t="str">
            <v>E9066</v>
          </cell>
          <cell r="BD208" t="str">
            <v>Grupo gerador - 13 / 14 kVA</v>
          </cell>
          <cell r="BE208" t="str">
            <v>h</v>
          </cell>
          <cell r="BF208">
            <v>8.4284999999999997</v>
          </cell>
          <cell r="BG208">
            <v>1.8580000000000001</v>
          </cell>
          <cell r="CC208">
            <v>0</v>
          </cell>
          <cell r="CD208" t="str">
            <v>Tacha refletiva metálica com dois pinos - bidirecional - fornecimento e colocação</v>
          </cell>
          <cell r="CE208" t="str">
            <v>un</v>
          </cell>
          <cell r="CF208" t="str">
            <v>não aplicada</v>
          </cell>
          <cell r="CG208">
            <v>0</v>
          </cell>
          <cell r="CH208">
            <v>1</v>
          </cell>
          <cell r="CI208">
            <v>5213395</v>
          </cell>
          <cell r="CJ208">
            <v>32.534966247709477</v>
          </cell>
          <cell r="CK208">
            <v>0</v>
          </cell>
          <cell r="CL208">
            <v>5213395</v>
          </cell>
          <cell r="CM208">
            <v>34.530034902548728</v>
          </cell>
          <cell r="CN208">
            <v>0</v>
          </cell>
        </row>
        <row r="209">
          <cell r="B209">
            <v>3107969</v>
          </cell>
          <cell r="C209" t="str">
            <v>SICRO</v>
          </cell>
          <cell r="D209" t="str">
            <v>Formas curvas de compensado plastificado 10 mm - uso geral - utilização de 2 vezes - confecção, instalação e retirada</v>
          </cell>
          <cell r="E209" t="str">
            <v>m²</v>
          </cell>
          <cell r="F209">
            <v>99.380341155474994</v>
          </cell>
          <cell r="G209">
            <v>99.380341155474994</v>
          </cell>
          <cell r="H209">
            <v>99.380341155474994</v>
          </cell>
          <cell r="I209">
            <v>0</v>
          </cell>
          <cell r="J209">
            <v>102.44200475469999</v>
          </cell>
          <cell r="K209">
            <v>102.44200475469999</v>
          </cell>
          <cell r="L209">
            <v>102.44200475469999</v>
          </cell>
          <cell r="W209" t="str">
            <v>E9623</v>
          </cell>
          <cell r="X209" t="str">
            <v>Máquina de bancada guilhotina - 4 kW</v>
          </cell>
          <cell r="Y209" t="str">
            <v>h</v>
          </cell>
          <cell r="Z209">
            <v>6.1239999999999997</v>
          </cell>
          <cell r="AA209">
            <v>3.8835000000000002</v>
          </cell>
          <cell r="BC209" t="str">
            <v>E9623</v>
          </cell>
          <cell r="BD209" t="str">
            <v>Máquina de bancada guilhotina - 4 kW</v>
          </cell>
          <cell r="BE209" t="str">
            <v>h</v>
          </cell>
          <cell r="BF209">
            <v>6.1097000000000001</v>
          </cell>
          <cell r="BG209">
            <v>3.8744000000000001</v>
          </cell>
          <cell r="CC209" t="str">
            <v>R5-AB</v>
          </cell>
          <cell r="CD209" t="str">
            <v xml:space="preserve"> REFORÇO: (5cm) BINDER - Aplicado apenas nos acostamentos (não tem pintura e tachas)</v>
          </cell>
          <cell r="CE209">
            <v>0</v>
          </cell>
          <cell r="CF209">
            <v>0</v>
          </cell>
          <cell r="CG209">
            <v>0</v>
          </cell>
          <cell r="CH209">
            <v>0</v>
          </cell>
          <cell r="CI209">
            <v>0</v>
          </cell>
          <cell r="CJ209">
            <v>0</v>
          </cell>
          <cell r="CK209">
            <v>46.895514240056336</v>
          </cell>
          <cell r="CL209">
            <v>0</v>
          </cell>
          <cell r="CM209">
            <v>0</v>
          </cell>
          <cell r="CN209">
            <v>48.468766086897887</v>
          </cell>
        </row>
        <row r="210">
          <cell r="B210">
            <v>3108009</v>
          </cell>
          <cell r="C210" t="str">
            <v>SICRO</v>
          </cell>
          <cell r="D210" t="str">
            <v>Formas de compensado plastificado 10 mm - uso geral - utilização de 3 vezes - confecção, instalação e retirada</v>
          </cell>
          <cell r="E210" t="str">
            <v>m²</v>
          </cell>
          <cell r="F210">
            <v>64.526326663974984</v>
          </cell>
          <cell r="G210">
            <v>64.526326663974984</v>
          </cell>
          <cell r="H210">
            <v>64.526326663974984</v>
          </cell>
          <cell r="I210">
            <v>0</v>
          </cell>
          <cell r="J210">
            <v>66.604511699699998</v>
          </cell>
          <cell r="K210">
            <v>66.604511699699998</v>
          </cell>
          <cell r="L210">
            <v>66.604511699699998</v>
          </cell>
          <cell r="W210" t="str">
            <v>E9622</v>
          </cell>
          <cell r="X210" t="str">
            <v>Máquina de bancada universal para corte de chapa - 1,5 kW</v>
          </cell>
          <cell r="Y210" t="str">
            <v>h</v>
          </cell>
          <cell r="Z210">
            <v>4.4821</v>
          </cell>
          <cell r="AA210">
            <v>2.8422999999999998</v>
          </cell>
          <cell r="BC210" t="str">
            <v>E9622</v>
          </cell>
          <cell r="BD210" t="str">
            <v>Máquina de bancada universal para corte de chapa - 1,5 kW</v>
          </cell>
          <cell r="BE210" t="str">
            <v>h</v>
          </cell>
          <cell r="BF210">
            <v>4.4648000000000003</v>
          </cell>
          <cell r="BG210">
            <v>2.8313000000000001</v>
          </cell>
          <cell r="CC210" t="str">
            <v>(m²)</v>
          </cell>
          <cell r="CD210" t="str">
            <v>Concreto asfáltico - faixa B - areia e brita comerciais</v>
          </cell>
          <cell r="CE210" t="str">
            <v>t</v>
          </cell>
          <cell r="CF210">
            <v>5</v>
          </cell>
          <cell r="CG210">
            <v>0.12</v>
          </cell>
          <cell r="CH210">
            <v>1</v>
          </cell>
          <cell r="CI210">
            <v>4011459</v>
          </cell>
          <cell r="CJ210">
            <v>123.09799260452866</v>
          </cell>
          <cell r="CK210">
            <v>19.402705594325806</v>
          </cell>
          <cell r="CL210">
            <v>4011459</v>
          </cell>
          <cell r="CM210">
            <v>128.04956019277108</v>
          </cell>
          <cell r="CN210">
            <v>20.183171677584575</v>
          </cell>
        </row>
        <row r="211">
          <cell r="B211">
            <v>3108012</v>
          </cell>
          <cell r="C211" t="str">
            <v>SICRO</v>
          </cell>
          <cell r="D211" t="str">
            <v>Formas de compensado plastificado 12 mm - uso geral - utilização de 2 vezes - confecção, instalação e retirada</v>
          </cell>
          <cell r="E211" t="str">
            <v>m²</v>
          </cell>
          <cell r="F211">
            <v>75.231126783874984</v>
          </cell>
          <cell r="G211">
            <v>75.231126783874984</v>
          </cell>
          <cell r="H211">
            <v>75.231126783874984</v>
          </cell>
          <cell r="I211">
            <v>0</v>
          </cell>
          <cell r="J211">
            <v>75.067650340500009</v>
          </cell>
          <cell r="K211">
            <v>75.067650340500009</v>
          </cell>
          <cell r="L211">
            <v>75.067650340500009</v>
          </cell>
          <cell r="W211" t="str">
            <v>P9801</v>
          </cell>
          <cell r="X211" t="str">
            <v>Ajudante</v>
          </cell>
          <cell r="Y211" t="str">
            <v>h</v>
          </cell>
          <cell r="Z211">
            <v>22.911100000000001</v>
          </cell>
          <cell r="AA211">
            <v>0</v>
          </cell>
          <cell r="BC211" t="str">
            <v>P9801</v>
          </cell>
          <cell r="BD211" t="str">
            <v>Ajudante</v>
          </cell>
          <cell r="BE211" t="str">
            <v>h</v>
          </cell>
          <cell r="BF211">
            <v>22.681799999999999</v>
          </cell>
          <cell r="BG211">
            <v>0</v>
          </cell>
          <cell r="CC211">
            <v>0</v>
          </cell>
          <cell r="CD211" t="str">
            <v>Fornecimento de CAP 50/70</v>
          </cell>
          <cell r="CE211" t="str">
            <v>t</v>
          </cell>
          <cell r="CF211" t="str">
            <v>0,04762 t</v>
          </cell>
          <cell r="CG211">
            <v>5.8286879999999994E-3</v>
          </cell>
          <cell r="CH211">
            <v>1</v>
          </cell>
          <cell r="CI211" t="str">
            <v>CPU10</v>
          </cell>
          <cell r="CJ211">
            <v>4481.4349761078774</v>
          </cell>
          <cell r="CK211">
            <v>26.120886268020268</v>
          </cell>
          <cell r="CL211" t="str">
            <v>CPU10-1</v>
          </cell>
          <cell r="CM211">
            <v>4614.4401264709131</v>
          </cell>
          <cell r="CN211">
            <v>26.89613179187949</v>
          </cell>
        </row>
        <row r="212">
          <cell r="B212">
            <v>3108003</v>
          </cell>
          <cell r="C212" t="str">
            <v>SICRO</v>
          </cell>
          <cell r="D212" t="str">
            <v>Formas de compensado resinado 14 mm - uso geral - utilização de 1 vez - confecção, instalação e retirada</v>
          </cell>
          <cell r="E212" t="str">
            <v>m²</v>
          </cell>
          <cell r="F212">
            <v>97.488503453924992</v>
          </cell>
          <cell r="G212">
            <v>97.488503453924992</v>
          </cell>
          <cell r="H212">
            <v>97.488503453924992</v>
          </cell>
          <cell r="I212">
            <v>0</v>
          </cell>
          <cell r="J212">
            <v>102.49545492309998</v>
          </cell>
          <cell r="K212">
            <v>102.49545492309998</v>
          </cell>
          <cell r="L212">
            <v>102.49545492309998</v>
          </cell>
          <cell r="W212" t="str">
            <v>P9823</v>
          </cell>
          <cell r="X212" t="str">
            <v>Serralheiro</v>
          </cell>
          <cell r="Y212" t="str">
            <v>h</v>
          </cell>
          <cell r="Z212">
            <v>26.511299999999999</v>
          </cell>
          <cell r="AA212">
            <v>0</v>
          </cell>
          <cell r="BC212" t="str">
            <v>P9823</v>
          </cell>
          <cell r="BD212" t="str">
            <v>Serralheiro</v>
          </cell>
          <cell r="BE212" t="str">
            <v>h</v>
          </cell>
          <cell r="BF212">
            <v>24.8932</v>
          </cell>
          <cell r="BG212">
            <v>0</v>
          </cell>
          <cell r="CC212">
            <v>0</v>
          </cell>
          <cell r="CD212" t="str">
            <v>Pintura de ligação</v>
          </cell>
          <cell r="CE212" t="str">
            <v>m²</v>
          </cell>
          <cell r="CF212">
            <v>1</v>
          </cell>
          <cell r="CG212">
            <v>1</v>
          </cell>
          <cell r="CH212">
            <v>1</v>
          </cell>
          <cell r="CI212">
            <v>4011353</v>
          </cell>
          <cell r="CJ212">
            <v>0.18392808219669335</v>
          </cell>
          <cell r="CK212">
            <v>0.24158953596535671</v>
          </cell>
          <cell r="CL212">
            <v>4011353</v>
          </cell>
          <cell r="CM212">
            <v>0.18912484066666665</v>
          </cell>
          <cell r="CN212">
            <v>0.24841547821566662</v>
          </cell>
        </row>
        <row r="213">
          <cell r="B213">
            <v>3103302</v>
          </cell>
          <cell r="C213" t="str">
            <v>SICRO</v>
          </cell>
          <cell r="D213" t="str">
            <v>Formas de tábuas de pinho para dispositivos de drenagem - utilização de 3 vezes - confecção, instalação e retirada</v>
          </cell>
          <cell r="E213" t="str">
            <v>m²</v>
          </cell>
          <cell r="F213">
            <v>62.023606091199994</v>
          </cell>
          <cell r="G213">
            <v>62.023606091199994</v>
          </cell>
          <cell r="H213">
            <v>62.023606091199994</v>
          </cell>
          <cell r="I213">
            <v>0</v>
          </cell>
          <cell r="J213">
            <v>65.149804290400013</v>
          </cell>
          <cell r="K213">
            <v>65.149804290400013</v>
          </cell>
          <cell r="L213">
            <v>65.149804290400013</v>
          </cell>
          <cell r="W213" t="str">
            <v>M1367</v>
          </cell>
          <cell r="X213" t="str">
            <v>Chapa de aço galvanizado</v>
          </cell>
          <cell r="Y213" t="str">
            <v>kg</v>
          </cell>
          <cell r="Z213">
            <v>6.9454000000000002</v>
          </cell>
          <cell r="AA213">
            <v>0</v>
          </cell>
          <cell r="BC213" t="str">
            <v>M1367</v>
          </cell>
          <cell r="BD213" t="str">
            <v>Chapa de aço galvanizado</v>
          </cell>
          <cell r="BE213" t="str">
            <v>kg</v>
          </cell>
          <cell r="BF213">
            <v>6.9515000000000002</v>
          </cell>
          <cell r="BG213">
            <v>0</v>
          </cell>
          <cell r="CC213">
            <v>0</v>
          </cell>
          <cell r="CD213" t="str">
            <v>Fornecimento de emulsão RR-1C</v>
          </cell>
          <cell r="CE213" t="str">
            <v>t</v>
          </cell>
          <cell r="CF213" t="str">
            <v>0,00045 t</v>
          </cell>
          <cell r="CG213">
            <v>4.4999999999999999E-4</v>
          </cell>
          <cell r="CH213">
            <v>1</v>
          </cell>
          <cell r="CI213" t="str">
            <v>CPU04</v>
          </cell>
          <cell r="CJ213">
            <v>2511.8507594331254</v>
          </cell>
          <cell r="CK213">
            <v>1.1303328417449063</v>
          </cell>
          <cell r="CL213" t="str">
            <v>CPU04-1</v>
          </cell>
          <cell r="CM213">
            <v>2535.6603093736671</v>
          </cell>
          <cell r="CN213">
            <v>1.1410471392181503</v>
          </cell>
        </row>
        <row r="214">
          <cell r="B214">
            <v>3806427</v>
          </cell>
          <cell r="C214" t="str">
            <v>SICRO</v>
          </cell>
          <cell r="D214" t="str">
            <v>Forma metálica para viga de concreto pré-moldada protendida para OAE - utilização de 20 vezes - confecção, instalação e</v>
          </cell>
          <cell r="E214" t="str">
            <v>m²</v>
          </cell>
          <cell r="F214">
            <v>57.887731827500005</v>
          </cell>
          <cell r="G214">
            <v>57.887731827500005</v>
          </cell>
          <cell r="H214">
            <v>57.887731827500005</v>
          </cell>
          <cell r="I214">
            <v>0</v>
          </cell>
          <cell r="J214">
            <v>59.044554890000001</v>
          </cell>
          <cell r="K214">
            <v>59.044554890000001</v>
          </cell>
          <cell r="L214">
            <v>59.044554890000001</v>
          </cell>
          <cell r="W214" t="str">
            <v>M3235</v>
          </cell>
          <cell r="X214" t="str">
            <v>Película retrorrefletiva tipo I</v>
          </cell>
          <cell r="Y214" t="str">
            <v>m²</v>
          </cell>
          <cell r="Z214">
            <v>93.418000000000006</v>
          </cell>
          <cell r="AA214">
            <v>0</v>
          </cell>
          <cell r="BC214" t="str">
            <v>M3235</v>
          </cell>
          <cell r="BD214" t="str">
            <v>Película retrorrefletiva tipo I</v>
          </cell>
          <cell r="BE214" t="str">
            <v>m²</v>
          </cell>
          <cell r="BF214">
            <v>97.777799999999999</v>
          </cell>
          <cell r="BG214">
            <v>0</v>
          </cell>
          <cell r="CC214">
            <v>0</v>
          </cell>
          <cell r="CD214" t="str">
            <v>Pintura de faixa - tinta base acrílica - espessura de 0,6 mm</v>
          </cell>
          <cell r="CE214" t="str">
            <v>m²</v>
          </cell>
          <cell r="CF214" t="str">
            <v>não aplicada</v>
          </cell>
          <cell r="CG214">
            <v>0</v>
          </cell>
          <cell r="CH214">
            <v>1</v>
          </cell>
          <cell r="CI214">
            <v>5213401</v>
          </cell>
          <cell r="CJ214">
            <v>20.390807290896916</v>
          </cell>
          <cell r="CK214">
            <v>0</v>
          </cell>
          <cell r="CL214">
            <v>5213401</v>
          </cell>
          <cell r="CM214">
            <v>22.71825438768407</v>
          </cell>
          <cell r="CN214">
            <v>0</v>
          </cell>
        </row>
        <row r="215">
          <cell r="B215">
            <v>3713605</v>
          </cell>
          <cell r="C215" t="str">
            <v>SICRO</v>
          </cell>
          <cell r="D215" t="str">
            <v>Ancoragem de defensa semi-maleável simples - fornecimento e implantação</v>
          </cell>
          <cell r="E215" t="str">
            <v>m</v>
          </cell>
          <cell r="F215">
            <v>251.49767764552846</v>
          </cell>
          <cell r="G215">
            <v>251.49767764552846</v>
          </cell>
          <cell r="H215">
            <v>251.49767764552846</v>
          </cell>
          <cell r="I215">
            <v>0</v>
          </cell>
          <cell r="J215">
            <v>253.89213471653116</v>
          </cell>
          <cell r="K215">
            <v>253.89213471653116</v>
          </cell>
          <cell r="L215">
            <v>253.89213471653116</v>
          </cell>
          <cell r="W215" t="str">
            <v>M3237</v>
          </cell>
          <cell r="X215" t="str">
            <v>Película retrorrefletiva tipo III</v>
          </cell>
          <cell r="Y215" t="str">
            <v>m²</v>
          </cell>
          <cell r="Z215">
            <v>125.52</v>
          </cell>
          <cell r="AA215">
            <v>0</v>
          </cell>
          <cell r="BC215" t="str">
            <v>M3237</v>
          </cell>
          <cell r="BD215" t="str">
            <v>Película retrorrefletiva tipo III</v>
          </cell>
          <cell r="BE215" t="str">
            <v>m²</v>
          </cell>
          <cell r="BF215">
            <v>142</v>
          </cell>
          <cell r="BG215">
            <v>0</v>
          </cell>
          <cell r="CC215">
            <v>0</v>
          </cell>
          <cell r="CD215" t="str">
            <v>Tacha refletiva monodirecional - fornecimento e colocação</v>
          </cell>
          <cell r="CE215" t="str">
            <v>un</v>
          </cell>
          <cell r="CF215" t="str">
            <v>não aplicada</v>
          </cell>
          <cell r="CG215">
            <v>0</v>
          </cell>
          <cell r="CH215">
            <v>1</v>
          </cell>
          <cell r="CI215">
            <v>5213359</v>
          </cell>
          <cell r="CJ215">
            <v>12.189996472111552</v>
          </cell>
          <cell r="CK215">
            <v>0</v>
          </cell>
          <cell r="CL215">
            <v>5213359</v>
          </cell>
          <cell r="CM215">
            <v>14.739324009960159</v>
          </cell>
          <cell r="CN215">
            <v>0</v>
          </cell>
        </row>
        <row r="216">
          <cell r="B216">
            <v>3719530</v>
          </cell>
          <cell r="C216" t="str">
            <v>SICRO</v>
          </cell>
          <cell r="D216" t="str">
            <v>Barreira dupla de concreto, armada, pré-moldada (perfil New Jersey) - L &gt; 3,00 m e 810 ≤ H ≤ 1.070 mm</v>
          </cell>
          <cell r="E216" t="str">
            <v>m</v>
          </cell>
          <cell r="F216">
            <v>564.83743092857139</v>
          </cell>
          <cell r="G216">
            <v>564.83743092857139</v>
          </cell>
          <cell r="H216">
            <v>564.83743092857139</v>
          </cell>
          <cell r="I216">
            <v>0</v>
          </cell>
          <cell r="J216">
            <v>588.61202001428569</v>
          </cell>
          <cell r="K216">
            <v>588.61202001428569</v>
          </cell>
          <cell r="L216">
            <v>588.61202001428569</v>
          </cell>
          <cell r="W216">
            <v>5212552</v>
          </cell>
          <cell r="X216" t="str">
            <v xml:space="preserve">Pintura eletrostática a pó com tinta poliester em chapa de aço </v>
          </cell>
          <cell r="Y216" t="str">
            <v>m²</v>
          </cell>
          <cell r="Z216">
            <v>14.83</v>
          </cell>
          <cell r="AA216">
            <v>0</v>
          </cell>
          <cell r="BC216">
            <v>5212552</v>
          </cell>
          <cell r="BD216" t="str">
            <v xml:space="preserve">Pintura eletrostática a pó com tinta poliester em chapa de aço </v>
          </cell>
          <cell r="BE216" t="str">
            <v>m²</v>
          </cell>
          <cell r="BF216">
            <v>13.89</v>
          </cell>
          <cell r="BG216">
            <v>0</v>
          </cell>
          <cell r="CC216">
            <v>0</v>
          </cell>
          <cell r="CD216" t="str">
            <v>Tacha refletiva metálica com dois pinos - bidirecional - fornecimento e colocação</v>
          </cell>
          <cell r="CE216" t="str">
            <v>un</v>
          </cell>
          <cell r="CF216" t="str">
            <v>não aplicada</v>
          </cell>
          <cell r="CG216">
            <v>0</v>
          </cell>
          <cell r="CH216">
            <v>1</v>
          </cell>
          <cell r="CI216">
            <v>5213395</v>
          </cell>
          <cell r="CJ216">
            <v>32.534966247709477</v>
          </cell>
          <cell r="CK216">
            <v>0</v>
          </cell>
          <cell r="CL216">
            <v>5213395</v>
          </cell>
          <cell r="CM216">
            <v>34.530034902548728</v>
          </cell>
          <cell r="CN216">
            <v>0</v>
          </cell>
        </row>
        <row r="217">
          <cell r="B217">
            <v>3713828</v>
          </cell>
          <cell r="C217" t="str">
            <v>SICRO</v>
          </cell>
          <cell r="D217" t="str">
            <v>Barreira dupla de concreto, armada, pré-moldada (perfil New Jersey) - L = 3,82 m e H = 810 mm</v>
          </cell>
          <cell r="E217" t="str">
            <v>m</v>
          </cell>
          <cell r="F217">
            <v>467.44352242857144</v>
          </cell>
          <cell r="G217">
            <v>467.44352242857144</v>
          </cell>
          <cell r="H217">
            <v>467.44352242857144</v>
          </cell>
          <cell r="I217">
            <v>0</v>
          </cell>
          <cell r="J217">
            <v>488.82014691428571</v>
          </cell>
          <cell r="K217">
            <v>488.82014691428571</v>
          </cell>
          <cell r="L217">
            <v>488.82014691428571</v>
          </cell>
          <cell r="W217">
            <v>5914333</v>
          </cell>
          <cell r="X217" t="str">
            <v>Carga, manobra e descarga de materiais diversos em caminhão carroceria de 15 t - carga e descarga com caminhão guindauto</v>
          </cell>
          <cell r="Y217" t="str">
            <v>t</v>
          </cell>
          <cell r="Z217">
            <v>18.84</v>
          </cell>
          <cell r="AA217">
            <v>0</v>
          </cell>
          <cell r="BC217">
            <v>5914333</v>
          </cell>
          <cell r="BD217" t="str">
            <v>Carga, manobra e descarga de materiais diversos em caminhão carroceria de 15 t - carga e descarga com caminhão guindauto</v>
          </cell>
          <cell r="BE217" t="str">
            <v>t</v>
          </cell>
          <cell r="BF217">
            <v>18.39</v>
          </cell>
          <cell r="BG217">
            <v>0</v>
          </cell>
          <cell r="CC217" t="str">
            <v>R6,5-AB</v>
          </cell>
          <cell r="CD217" t="str">
            <v xml:space="preserve"> REFORÇO: (6,5cm) BINDER - Aplicado apenas nos acostamentos (não tem pintura e tachas)</v>
          </cell>
          <cell r="CE217">
            <v>0</v>
          </cell>
          <cell r="CF217">
            <v>0</v>
          </cell>
          <cell r="CG217">
            <v>0</v>
          </cell>
          <cell r="CH217">
            <v>0</v>
          </cell>
          <cell r="CI217">
            <v>0</v>
          </cell>
          <cell r="CJ217">
            <v>0</v>
          </cell>
          <cell r="CK217">
            <v>60.552591798760169</v>
          </cell>
          <cell r="CL217">
            <v>0</v>
          </cell>
          <cell r="CM217">
            <v>0</v>
          </cell>
          <cell r="CN217">
            <v>62.592557127737109</v>
          </cell>
        </row>
        <row r="218">
          <cell r="B218">
            <v>3719529</v>
          </cell>
          <cell r="C218" t="str">
            <v>SICRO</v>
          </cell>
          <cell r="D218" t="str">
            <v>Barreira simples de concreto, armada, pré-moldada (perfil New Jersey) - L &gt; 3,00 m e 810 ≤ H ≥ 1.070 mm</v>
          </cell>
          <cell r="E218" t="str">
            <v>m</v>
          </cell>
          <cell r="F218">
            <v>498.24233192857145</v>
          </cell>
          <cell r="G218">
            <v>498.24233192857145</v>
          </cell>
          <cell r="H218">
            <v>498.24233192857145</v>
          </cell>
          <cell r="I218">
            <v>0</v>
          </cell>
          <cell r="J218">
            <v>520.36972861428569</v>
          </cell>
          <cell r="K218">
            <v>520.36972861428569</v>
          </cell>
          <cell r="L218">
            <v>520.36972861428569</v>
          </cell>
          <cell r="W218" t="str">
            <v>M3230</v>
          </cell>
          <cell r="X218" t="str">
            <v>Chapa de poliester reforçada com fibra de vidro de 2 mm</v>
          </cell>
          <cell r="Y218" t="str">
            <v>m²</v>
          </cell>
          <cell r="Z218">
            <v>57</v>
          </cell>
          <cell r="AA218">
            <v>0</v>
          </cell>
          <cell r="BC218" t="str">
            <v>M3230</v>
          </cell>
          <cell r="BD218" t="str">
            <v>Chapa de poliester reforçada com fibra de vidro de 2 mm</v>
          </cell>
          <cell r="BE218" t="str">
            <v>m²</v>
          </cell>
          <cell r="BF218">
            <v>57</v>
          </cell>
          <cell r="BG218">
            <v>0</v>
          </cell>
          <cell r="CC218" t="str">
            <v>(m²)</v>
          </cell>
          <cell r="CD218" t="str">
            <v>Concreto asfáltico - faixa B - areia e brita comerciais</v>
          </cell>
          <cell r="CE218" t="str">
            <v>t</v>
          </cell>
          <cell r="CF218">
            <v>6.5</v>
          </cell>
          <cell r="CG218">
            <v>0.156</v>
          </cell>
          <cell r="CH218">
            <v>1</v>
          </cell>
          <cell r="CI218">
            <v>4011459</v>
          </cell>
          <cell r="CJ218">
            <v>123.09799260452866</v>
          </cell>
          <cell r="CK218">
            <v>25.223517272623546</v>
          </cell>
          <cell r="CL218">
            <v>4011459</v>
          </cell>
          <cell r="CM218">
            <v>128.04956019277108</v>
          </cell>
          <cell r="CN218">
            <v>26.238123180859947</v>
          </cell>
        </row>
        <row r="219">
          <cell r="B219">
            <v>3713610</v>
          </cell>
          <cell r="C219" t="str">
            <v>SICRO</v>
          </cell>
          <cell r="D219" t="str">
            <v>Cerca com 4 fios de arame farpado e mourão de concreto de seção quadrada de 11 cm a cada 2,5 m e esticador de 15 cm a</v>
          </cell>
          <cell r="E219" t="str">
            <v>m</v>
          </cell>
          <cell r="F219">
            <v>25.908641085333333</v>
          </cell>
          <cell r="G219">
            <v>25.908641085333333</v>
          </cell>
          <cell r="H219">
            <v>25.908641085333333</v>
          </cell>
          <cell r="I219">
            <v>0</v>
          </cell>
          <cell r="J219">
            <v>26.640346117333337</v>
          </cell>
          <cell r="K219">
            <v>26.640346117333337</v>
          </cell>
          <cell r="L219">
            <v>26.640346117333337</v>
          </cell>
          <cell r="W219" t="str">
            <v>P9808</v>
          </cell>
          <cell r="X219" t="str">
            <v>Carpinteiro</v>
          </cell>
          <cell r="Y219" t="str">
            <v>h</v>
          </cell>
          <cell r="Z219">
            <v>27.046700000000001</v>
          </cell>
          <cell r="AA219">
            <v>0</v>
          </cell>
          <cell r="BC219" t="str">
            <v>P9808</v>
          </cell>
          <cell r="BD219" t="str">
            <v>Carpinteiro</v>
          </cell>
          <cell r="BE219" t="str">
            <v>h</v>
          </cell>
          <cell r="BF219">
            <v>24.7547</v>
          </cell>
          <cell r="BG219">
            <v>0</v>
          </cell>
          <cell r="CC219">
            <v>0</v>
          </cell>
          <cell r="CD219" t="str">
            <v>Fornecimento de CAP 50/70</v>
          </cell>
          <cell r="CE219" t="str">
            <v>t</v>
          </cell>
          <cell r="CF219" t="str">
            <v>0,04762 t</v>
          </cell>
          <cell r="CG219">
            <v>7.577294400000001E-3</v>
          </cell>
          <cell r="CH219">
            <v>1</v>
          </cell>
          <cell r="CI219" t="str">
            <v>CPU10</v>
          </cell>
          <cell r="CJ219">
            <v>4481.4349761078774</v>
          </cell>
          <cell r="CK219">
            <v>33.95715214842636</v>
          </cell>
          <cell r="CL219" t="str">
            <v>CPU10-1</v>
          </cell>
          <cell r="CM219">
            <v>4614.4401264709131</v>
          </cell>
          <cell r="CN219">
            <v>34.964971329443344</v>
          </cell>
        </row>
        <row r="220">
          <cell r="B220">
            <v>3713600</v>
          </cell>
          <cell r="C220" t="str">
            <v>SICRO</v>
          </cell>
          <cell r="D220" t="str">
            <v>Defensa maleável simples - fornecimento e implantação</v>
          </cell>
          <cell r="E220" t="str">
            <v>m</v>
          </cell>
          <cell r="F220">
            <v>325.43896064337349</v>
          </cell>
          <cell r="G220">
            <v>325.43896064337349</v>
          </cell>
          <cell r="H220">
            <v>325.43896064337349</v>
          </cell>
          <cell r="I220">
            <v>0</v>
          </cell>
          <cell r="J220">
            <v>325.8885061983936</v>
          </cell>
          <cell r="K220">
            <v>325.8885061983936</v>
          </cell>
          <cell r="L220">
            <v>325.8885061983936</v>
          </cell>
          <cell r="W220" t="str">
            <v>P9822</v>
          </cell>
          <cell r="X220" t="str">
            <v>Pintor</v>
          </cell>
          <cell r="Y220" t="str">
            <v>h</v>
          </cell>
          <cell r="Z220">
            <v>25.9054</v>
          </cell>
          <cell r="AA220">
            <v>0</v>
          </cell>
          <cell r="BC220" t="str">
            <v>P9822</v>
          </cell>
          <cell r="BD220" t="str">
            <v>Pintor</v>
          </cell>
          <cell r="BE220" t="str">
            <v>h</v>
          </cell>
          <cell r="BF220">
            <v>24.287700000000001</v>
          </cell>
          <cell r="BG220">
            <v>0</v>
          </cell>
          <cell r="CC220">
            <v>0</v>
          </cell>
          <cell r="CD220" t="str">
            <v>Pintura de ligação</v>
          </cell>
          <cell r="CE220" t="str">
            <v>m²</v>
          </cell>
          <cell r="CF220">
            <v>1</v>
          </cell>
          <cell r="CG220">
            <v>1</v>
          </cell>
          <cell r="CH220">
            <v>1</v>
          </cell>
          <cell r="CI220">
            <v>4011353</v>
          </cell>
          <cell r="CJ220">
            <v>0.18392808219669335</v>
          </cell>
          <cell r="CK220">
            <v>0.24158953596535671</v>
          </cell>
          <cell r="CL220">
            <v>4011353</v>
          </cell>
          <cell r="CM220">
            <v>0.18912484066666665</v>
          </cell>
          <cell r="CN220">
            <v>0.24841547821566662</v>
          </cell>
        </row>
        <row r="221">
          <cell r="B221">
            <v>3713604</v>
          </cell>
          <cell r="C221" t="str">
            <v>SICRO</v>
          </cell>
          <cell r="D221" t="str">
            <v>Defensa semi-maleável simples - fornecimento e implantação</v>
          </cell>
          <cell r="E221" t="str">
            <v>m</v>
          </cell>
          <cell r="F221">
            <v>213.25062630602409</v>
          </cell>
          <cell r="G221">
            <v>213.25062630602409</v>
          </cell>
          <cell r="H221">
            <v>213.25062630602409</v>
          </cell>
          <cell r="I221">
            <v>0</v>
          </cell>
          <cell r="J221">
            <v>213.52329635903615</v>
          </cell>
          <cell r="K221">
            <v>213.52329635903615</v>
          </cell>
          <cell r="L221">
            <v>213.52329635903615</v>
          </cell>
          <cell r="W221" t="str">
            <v>M0789</v>
          </cell>
          <cell r="X221" t="str">
            <v>Conjunto de cantoneiras e parafusos galvanizados para fixação de placas</v>
          </cell>
          <cell r="Y221" t="str">
            <v>kg</v>
          </cell>
          <cell r="Z221">
            <v>5.3876999999999997</v>
          </cell>
          <cell r="AA221">
            <v>0</v>
          </cell>
          <cell r="BC221" t="str">
            <v>M0789</v>
          </cell>
          <cell r="BD221" t="str">
            <v>Conjunto de cantoneiras e parafusos galvanizados para fixação de placas</v>
          </cell>
          <cell r="BE221" t="str">
            <v>kg</v>
          </cell>
          <cell r="BF221">
            <v>5.3876999999999997</v>
          </cell>
          <cell r="BG221">
            <v>0</v>
          </cell>
          <cell r="CC221">
            <v>0</v>
          </cell>
          <cell r="CD221" t="str">
            <v>Fornecimento de emulsão RR-1C</v>
          </cell>
          <cell r="CE221" t="str">
            <v>t</v>
          </cell>
          <cell r="CF221" t="str">
            <v>0,00045 t</v>
          </cell>
          <cell r="CG221">
            <v>4.4999999999999999E-4</v>
          </cell>
          <cell r="CH221">
            <v>1</v>
          </cell>
          <cell r="CI221" t="str">
            <v>CPU04</v>
          </cell>
          <cell r="CJ221">
            <v>2511.8507594331254</v>
          </cell>
          <cell r="CK221">
            <v>1.1303328417449063</v>
          </cell>
          <cell r="CL221" t="str">
            <v>CPU04-1</v>
          </cell>
          <cell r="CM221">
            <v>2535.6603093736671</v>
          </cell>
          <cell r="CN221">
            <v>1.1410471392181503</v>
          </cell>
        </row>
        <row r="222">
          <cell r="B222">
            <v>3713705</v>
          </cell>
          <cell r="C222" t="str">
            <v>SICRO</v>
          </cell>
          <cell r="D222" t="str">
            <v>largura de âncora traseira de até 700 mm
Remoção de defensa metálica</v>
          </cell>
          <cell r="E222" t="str">
            <v>m</v>
          </cell>
          <cell r="F222">
            <v>16.878557666666666</v>
          </cell>
          <cell r="G222">
            <v>16.878557666666666</v>
          </cell>
          <cell r="H222">
            <v>16.878557666666666</v>
          </cell>
          <cell r="I222">
            <v>0</v>
          </cell>
          <cell r="J222">
            <v>17.233691333333336</v>
          </cell>
          <cell r="K222">
            <v>17.233691333333336</v>
          </cell>
          <cell r="L222">
            <v>17.233691333333336</v>
          </cell>
          <cell r="W222" t="str">
            <v>M2018</v>
          </cell>
          <cell r="X222" t="str">
            <v>Gastalho de 10 x 2 cm</v>
          </cell>
          <cell r="Y222" t="str">
            <v>m</v>
          </cell>
          <cell r="Z222">
            <v>2.8999000000000001</v>
          </cell>
          <cell r="AA222">
            <v>0</v>
          </cell>
          <cell r="BC222" t="str">
            <v>M2018</v>
          </cell>
          <cell r="BD222" t="str">
            <v>Gastalho de 10 x 2 cm</v>
          </cell>
          <cell r="BE222" t="str">
            <v>m</v>
          </cell>
          <cell r="BF222">
            <v>2.3452000000000002</v>
          </cell>
          <cell r="BG222">
            <v>0</v>
          </cell>
          <cell r="CC222">
            <v>0</v>
          </cell>
          <cell r="CD222" t="str">
            <v>Pintura de faixa - tinta base acrílica - espessura de 0,6 mm</v>
          </cell>
          <cell r="CE222" t="str">
            <v>m²</v>
          </cell>
          <cell r="CF222" t="str">
            <v>não aplicada</v>
          </cell>
          <cell r="CG222">
            <v>0</v>
          </cell>
          <cell r="CH222">
            <v>1</v>
          </cell>
          <cell r="CI222">
            <v>5213401</v>
          </cell>
          <cell r="CJ222">
            <v>20.390807290896916</v>
          </cell>
          <cell r="CK222">
            <v>0</v>
          </cell>
          <cell r="CL222">
            <v>5213401</v>
          </cell>
          <cell r="CM222">
            <v>22.71825438768407</v>
          </cell>
          <cell r="CN222">
            <v>0</v>
          </cell>
        </row>
        <row r="223">
          <cell r="B223">
            <v>3713689</v>
          </cell>
          <cell r="C223" t="str">
            <v>SICRO</v>
          </cell>
          <cell r="D223" t="str">
            <v>Terminal aéreo de defensa metálica - tipo A - fornecimento e implantação</v>
          </cell>
          <cell r="E223" t="str">
            <v>un</v>
          </cell>
          <cell r="F223">
            <v>247.166336</v>
          </cell>
          <cell r="G223">
            <v>247.166336</v>
          </cell>
          <cell r="H223">
            <v>247.166336</v>
          </cell>
          <cell r="I223">
            <v>0</v>
          </cell>
          <cell r="J223">
            <v>248.58801199999999</v>
          </cell>
          <cell r="K223">
            <v>248.58801199999999</v>
          </cell>
          <cell r="L223">
            <v>248.58801199999999</v>
          </cell>
          <cell r="W223" t="str">
            <v>M1662</v>
          </cell>
          <cell r="X223" t="str">
            <v>Suporte em madeira de eucalipto tratado de 8 x 8 cm</v>
          </cell>
          <cell r="Y223" t="str">
            <v>m</v>
          </cell>
          <cell r="Z223">
            <v>12.8377</v>
          </cell>
          <cell r="AA223">
            <v>0</v>
          </cell>
          <cell r="BC223" t="str">
            <v>M1662</v>
          </cell>
          <cell r="BD223" t="str">
            <v>Suporte em madeira de eucalipto tratado de 8 x 8 cm</v>
          </cell>
          <cell r="BE223" t="str">
            <v>m</v>
          </cell>
          <cell r="BF223">
            <v>12.8377</v>
          </cell>
          <cell r="BG223">
            <v>0</v>
          </cell>
          <cell r="CC223">
            <v>0</v>
          </cell>
          <cell r="CD223" t="str">
            <v>Tacha refletiva monodirecional - fornecimento e colocação</v>
          </cell>
          <cell r="CE223" t="str">
            <v>un</v>
          </cell>
          <cell r="CF223" t="str">
            <v>não aplicada</v>
          </cell>
          <cell r="CG223">
            <v>0</v>
          </cell>
          <cell r="CH223">
            <v>1</v>
          </cell>
          <cell r="CI223">
            <v>5213359</v>
          </cell>
          <cell r="CJ223">
            <v>12.189996472111552</v>
          </cell>
          <cell r="CK223">
            <v>0</v>
          </cell>
          <cell r="CL223">
            <v>5213359</v>
          </cell>
          <cell r="CM223">
            <v>14.739324009960159</v>
          </cell>
          <cell r="CN223">
            <v>0</v>
          </cell>
        </row>
        <row r="224">
          <cell r="B224">
            <v>3713873</v>
          </cell>
          <cell r="C224" t="str">
            <v>SICRO</v>
          </cell>
          <cell r="D224" t="str">
            <v>Módulo de transição de defensa metálica para barreira rígida - fornecimento e implantação</v>
          </cell>
          <cell r="E224" t="str">
            <v>un</v>
          </cell>
          <cell r="F224">
            <v>4550.2562168141594</v>
          </cell>
          <cell r="G224">
            <v>4550.2562168141594</v>
          </cell>
          <cell r="H224">
            <v>4550.2562168141594</v>
          </cell>
          <cell r="I224">
            <v>0</v>
          </cell>
          <cell r="J224">
            <v>4554.1537389380528</v>
          </cell>
          <cell r="K224">
            <v>4554.1537389380528</v>
          </cell>
          <cell r="L224">
            <v>4554.1537389380528</v>
          </cell>
          <cell r="W224" t="str">
            <v>M2128</v>
          </cell>
          <cell r="X224" t="str">
            <v>Tinta esmalte sintético</v>
          </cell>
          <cell r="Y224" t="str">
            <v>l</v>
          </cell>
          <cell r="Z224">
            <v>22.068100000000001</v>
          </cell>
          <cell r="AA224">
            <v>0</v>
          </cell>
          <cell r="BC224" t="str">
            <v>M2128</v>
          </cell>
          <cell r="BD224" t="str">
            <v>Tinta esmalte sintético</v>
          </cell>
          <cell r="BE224" t="str">
            <v>l</v>
          </cell>
          <cell r="BF224">
            <v>23.245799999999999</v>
          </cell>
          <cell r="BG224">
            <v>0</v>
          </cell>
          <cell r="CC224">
            <v>0</v>
          </cell>
          <cell r="CD224" t="str">
            <v>Tacha refletiva metálica com dois pinos - bidirecional - fornecimento e colocação</v>
          </cell>
          <cell r="CE224" t="str">
            <v>un</v>
          </cell>
          <cell r="CF224" t="str">
            <v>não aplicada</v>
          </cell>
          <cell r="CG224">
            <v>0</v>
          </cell>
          <cell r="CH224">
            <v>1</v>
          </cell>
          <cell r="CI224">
            <v>5213395</v>
          </cell>
          <cell r="CJ224">
            <v>32.534966247709477</v>
          </cell>
          <cell r="CK224">
            <v>0</v>
          </cell>
          <cell r="CL224">
            <v>5213395</v>
          </cell>
          <cell r="CM224">
            <v>34.530034902548728</v>
          </cell>
          <cell r="CN224">
            <v>0</v>
          </cell>
        </row>
        <row r="225">
          <cell r="B225">
            <v>3806417</v>
          </cell>
          <cell r="C225" t="str">
            <v>SICRO</v>
          </cell>
          <cell r="D225" t="str">
            <v>Elevação de estruturas de 490 a 980 kN para substituição de aparelho de apoio com a utilização de macaco hidráulico</v>
          </cell>
          <cell r="E225" t="str">
            <v>un</v>
          </cell>
          <cell r="F225">
            <v>74.677499999999995</v>
          </cell>
          <cell r="G225">
            <v>74.677499999999995</v>
          </cell>
          <cell r="H225">
            <v>74.677499999999995</v>
          </cell>
          <cell r="I225">
            <v>0</v>
          </cell>
          <cell r="J225">
            <v>74.817575757575753</v>
          </cell>
          <cell r="K225">
            <v>74.817575757575753</v>
          </cell>
          <cell r="L225">
            <v>74.817575757575753</v>
          </cell>
          <cell r="W225" t="str">
            <v>M0787</v>
          </cell>
          <cell r="X225" t="str">
            <v>Suporte em aço carbono galvanizado perfil "C"</v>
          </cell>
          <cell r="Y225" t="str">
            <v>kg</v>
          </cell>
          <cell r="Z225">
            <v>13.3</v>
          </cell>
          <cell r="AA225">
            <v>0</v>
          </cell>
          <cell r="BC225" t="str">
            <v>M0787</v>
          </cell>
          <cell r="BD225" t="str">
            <v>Suporte em aço carbono galvanizado perfil "C"</v>
          </cell>
          <cell r="BE225" t="str">
            <v>kg</v>
          </cell>
          <cell r="BF225">
            <v>13.3</v>
          </cell>
          <cell r="BG225">
            <v>0</v>
          </cell>
          <cell r="CC225" t="str">
            <v>R3-AC</v>
          </cell>
          <cell r="CD225" t="str">
            <v xml:space="preserve"> REFORÇO: (3cm) CBUQ C/ POLÍMERO - Aplicado apenas nos acostamentos (não tem pintura e tachas)</v>
          </cell>
          <cell r="CE225">
            <v>0</v>
          </cell>
          <cell r="CF225">
            <v>0</v>
          </cell>
          <cell r="CG225">
            <v>0</v>
          </cell>
          <cell r="CH225">
            <v>0</v>
          </cell>
          <cell r="CI225">
            <v>0</v>
          </cell>
          <cell r="CJ225">
            <v>0</v>
          </cell>
          <cell r="CK225">
            <v>32.371772666033266</v>
          </cell>
          <cell r="CL225">
            <v>0</v>
          </cell>
          <cell r="CM225">
            <v>0</v>
          </cell>
          <cell r="CN225">
            <v>33.34743788522065</v>
          </cell>
        </row>
        <row r="226">
          <cell r="B226">
            <v>3806420</v>
          </cell>
          <cell r="C226" t="str">
            <v>SICRO</v>
          </cell>
          <cell r="D226" t="str">
            <v>Lançamento de viga pré-moldada de até 500 kN com utilização de guindaste</v>
          </cell>
          <cell r="E226" t="str">
            <v>un</v>
          </cell>
          <cell r="F226">
            <v>2960.3934453781512</v>
          </cell>
          <cell r="G226">
            <v>2960.3934453781512</v>
          </cell>
          <cell r="H226">
            <v>2960.3934453781512</v>
          </cell>
          <cell r="I226">
            <v>0</v>
          </cell>
          <cell r="J226">
            <v>2969.0899159663868</v>
          </cell>
          <cell r="K226">
            <v>2969.0899159663868</v>
          </cell>
          <cell r="L226">
            <v>2969.0899159663868</v>
          </cell>
          <cell r="W226">
            <v>4805750</v>
          </cell>
          <cell r="X226" t="str">
            <v xml:space="preserve">Escavação manual em material de 1ª categoria </v>
          </cell>
          <cell r="Y226" t="str">
            <v>m³</v>
          </cell>
          <cell r="Z226">
            <v>43.07</v>
          </cell>
          <cell r="AA226">
            <v>0</v>
          </cell>
          <cell r="BC226">
            <v>4805750</v>
          </cell>
          <cell r="BD226" t="str">
            <v xml:space="preserve">Escavação manual em material de 1ª categoria </v>
          </cell>
          <cell r="BE226" t="str">
            <v>m³</v>
          </cell>
          <cell r="BF226">
            <v>41.98</v>
          </cell>
          <cell r="BG226">
            <v>0</v>
          </cell>
          <cell r="CC226" t="str">
            <v>(m²)</v>
          </cell>
          <cell r="CD226" t="str">
            <v>Concreto asfáltico com asfalto polímero - faixa C - areia e brita comerciais</v>
          </cell>
          <cell r="CE226" t="str">
            <v>t</v>
          </cell>
          <cell r="CF226">
            <v>3</v>
          </cell>
          <cell r="CG226">
            <v>7.1999999999999995E-2</v>
          </cell>
          <cell r="CH226">
            <v>1</v>
          </cell>
          <cell r="CI226">
            <v>4011466</v>
          </cell>
          <cell r="CJ226">
            <v>130.81939260452867</v>
          </cell>
          <cell r="CK226">
            <v>12.371851597395484</v>
          </cell>
          <cell r="CL226">
            <v>4011466</v>
          </cell>
          <cell r="CM226">
            <v>135.10461380032868</v>
          </cell>
          <cell r="CN226">
            <v>12.777113536324682</v>
          </cell>
        </row>
        <row r="227">
          <cell r="B227">
            <v>3806421</v>
          </cell>
          <cell r="C227" t="str">
            <v>SICRO</v>
          </cell>
          <cell r="D227" t="str">
            <v>Lançamento de viga pré-moldada de 500 a 750 kN com utilização de guindaste</v>
          </cell>
          <cell r="E227" t="str">
            <v>un</v>
          </cell>
          <cell r="F227">
            <v>3387.373269230769</v>
          </cell>
          <cell r="G227">
            <v>3387.373269230769</v>
          </cell>
          <cell r="H227">
            <v>3387.373269230769</v>
          </cell>
          <cell r="I227">
            <v>0</v>
          </cell>
          <cell r="J227">
            <v>3397.3240384615383</v>
          </cell>
          <cell r="K227">
            <v>3397.3240384615383</v>
          </cell>
          <cell r="L227">
            <v>3397.3240384615383</v>
          </cell>
          <cell r="W227">
            <v>5915476</v>
          </cell>
          <cell r="X227" t="str">
            <v>Carga, manobra e descarga de material demolido da camada granular ou terra (solo) solto em caminhão basculante de 6 m³ - carga manual e descarga livre</v>
          </cell>
          <cell r="Y227" t="str">
            <v>t</v>
          </cell>
          <cell r="Z227">
            <v>57.2</v>
          </cell>
          <cell r="AA227">
            <v>0</v>
          </cell>
          <cell r="BC227">
            <v>5915476</v>
          </cell>
          <cell r="BD227" t="str">
            <v>Carga, manobra e descarga de material demolido da camada granular ou terra (solo) solto em caminhão basculante de 6 m³ - carga manual e descarga livre</v>
          </cell>
          <cell r="BE227" t="str">
            <v>t</v>
          </cell>
          <cell r="BF227">
            <v>56.13</v>
          </cell>
          <cell r="BG227">
            <v>0</v>
          </cell>
          <cell r="CC227">
            <v>0</v>
          </cell>
          <cell r="CD227" t="str">
            <v>Fornecimento de Material Betuminoso c/ polímero SBS</v>
          </cell>
          <cell r="CE227" t="str">
            <v>t</v>
          </cell>
          <cell r="CF227" t="str">
            <v>0,057732 t</v>
          </cell>
          <cell r="CG227">
            <v>4.1567039999999998E-3</v>
          </cell>
          <cell r="CH227">
            <v>1</v>
          </cell>
          <cell r="CI227" t="str">
            <v>CPU10</v>
          </cell>
          <cell r="CJ227">
            <v>4481.4349761078774</v>
          </cell>
          <cell r="CK227">
            <v>18.627998690927516</v>
          </cell>
          <cell r="CL227" t="str">
            <v>CPU10-1</v>
          </cell>
          <cell r="CM227">
            <v>4614.4401264709131</v>
          </cell>
          <cell r="CN227">
            <v>19.180861731462148</v>
          </cell>
        </row>
        <row r="228">
          <cell r="B228">
            <v>3806405</v>
          </cell>
          <cell r="C228" t="str">
            <v>SICRO</v>
          </cell>
          <cell r="D228" t="str">
            <v>Limpeza de aparelhos de apoio em obras de arte especiais</v>
          </cell>
          <cell r="E228" t="str">
            <v>un</v>
          </cell>
          <cell r="F228">
            <v>447.52984955752214</v>
          </cell>
          <cell r="G228">
            <v>447.52984955752214</v>
          </cell>
          <cell r="H228">
            <v>447.52984955752214</v>
          </cell>
          <cell r="I228">
            <v>0</v>
          </cell>
          <cell r="J228">
            <v>461.96940530973455</v>
          </cell>
          <cell r="K228">
            <v>461.96940530973455</v>
          </cell>
          <cell r="L228">
            <v>461.96940530973455</v>
          </cell>
          <cell r="W228" t="str">
            <v>M3126</v>
          </cell>
          <cell r="X228" t="str">
            <v>Barra de aço galvanizado</v>
          </cell>
          <cell r="Y228" t="str">
            <v>kg</v>
          </cell>
          <cell r="Z228">
            <v>4.9039000000000001</v>
          </cell>
          <cell r="AA228">
            <v>0</v>
          </cell>
          <cell r="BC228" t="str">
            <v>M3126</v>
          </cell>
          <cell r="BD228" t="str">
            <v>Barra de aço galvanizado</v>
          </cell>
          <cell r="BE228" t="str">
            <v>kg</v>
          </cell>
          <cell r="BF228">
            <v>4.1356000000000002</v>
          </cell>
          <cell r="BG228">
            <v>0</v>
          </cell>
          <cell r="CC228">
            <v>0</v>
          </cell>
          <cell r="CD228" t="str">
            <v>Pintura de ligação</v>
          </cell>
          <cell r="CE228" t="str">
            <v>m²</v>
          </cell>
          <cell r="CF228">
            <v>1</v>
          </cell>
          <cell r="CG228">
            <v>1</v>
          </cell>
          <cell r="CH228">
            <v>1</v>
          </cell>
          <cell r="CI228">
            <v>4011353</v>
          </cell>
          <cell r="CJ228">
            <v>0.18392808219669335</v>
          </cell>
          <cell r="CK228">
            <v>0.24158953596535671</v>
          </cell>
          <cell r="CL228">
            <v>4011353</v>
          </cell>
          <cell r="CM228">
            <v>0.18912484066666665</v>
          </cell>
          <cell r="CN228">
            <v>0.24841547821566662</v>
          </cell>
        </row>
        <row r="229">
          <cell r="B229">
            <v>3806406</v>
          </cell>
          <cell r="C229" t="str">
            <v>SICRO</v>
          </cell>
          <cell r="D229" t="str">
            <v>Limpeza em junta de dilatação</v>
          </cell>
          <cell r="E229" t="str">
            <v>m</v>
          </cell>
          <cell r="F229">
            <v>4.7609811195024427</v>
          </cell>
          <cell r="G229">
            <v>4.7609811195024427</v>
          </cell>
          <cell r="H229">
            <v>4.7609811195024427</v>
          </cell>
          <cell r="I229">
            <v>0</v>
          </cell>
          <cell r="J229">
            <v>5.0956648600621941</v>
          </cell>
          <cell r="K229">
            <v>5.0956648600621941</v>
          </cell>
          <cell r="L229">
            <v>5.0956648600621941</v>
          </cell>
          <cell r="W229" t="str">
            <v>M0366</v>
          </cell>
          <cell r="X229" t="str">
            <v>Cantoneira de aço galvanizado ASTM A36</v>
          </cell>
          <cell r="Y229" t="str">
            <v>kg</v>
          </cell>
          <cell r="Z229">
            <v>7</v>
          </cell>
          <cell r="AA229">
            <v>0</v>
          </cell>
          <cell r="BC229" t="str">
            <v>M0366</v>
          </cell>
          <cell r="BD229" t="str">
            <v>Cantoneira de aço galvanizado ASTM A36</v>
          </cell>
          <cell r="BE229" t="str">
            <v>kg</v>
          </cell>
          <cell r="BF229">
            <v>7</v>
          </cell>
          <cell r="BG229">
            <v>0</v>
          </cell>
          <cell r="CC229">
            <v>0</v>
          </cell>
          <cell r="CD229" t="str">
            <v>Fornecimento de emulsão RR-1C</v>
          </cell>
          <cell r="CE229" t="str">
            <v>t</v>
          </cell>
          <cell r="CF229" t="str">
            <v>0,00045 t</v>
          </cell>
          <cell r="CG229">
            <v>4.4999999999999999E-4</v>
          </cell>
          <cell r="CH229">
            <v>1</v>
          </cell>
          <cell r="CI229" t="str">
            <v>CPU04</v>
          </cell>
          <cell r="CJ229">
            <v>2511.8507594331254</v>
          </cell>
          <cell r="CK229">
            <v>1.1303328417449063</v>
          </cell>
          <cell r="CL229" t="str">
            <v>CPU04-1</v>
          </cell>
          <cell r="CM229">
            <v>2535.6603093736671</v>
          </cell>
          <cell r="CN229">
            <v>1.1410471392181503</v>
          </cell>
        </row>
        <row r="230">
          <cell r="B230">
            <v>3806409</v>
          </cell>
          <cell r="C230" t="str">
            <v>SICRO</v>
          </cell>
          <cell r="D230" t="str">
            <v>Substituição de junta de dilatação - fornecimento e instalação</v>
          </cell>
          <cell r="E230" t="str">
            <v>m</v>
          </cell>
          <cell r="F230">
            <v>1376.5821381999999</v>
          </cell>
          <cell r="G230">
            <v>1376.5821381999999</v>
          </cell>
          <cell r="H230">
            <v>1376.5821381999999</v>
          </cell>
          <cell r="I230">
            <v>0</v>
          </cell>
          <cell r="J230">
            <v>1383.0932144000001</v>
          </cell>
          <cell r="K230">
            <v>1383.0932144000001</v>
          </cell>
          <cell r="L230">
            <v>1383.0932144000001</v>
          </cell>
          <cell r="W230" t="str">
            <v>M0395</v>
          </cell>
          <cell r="X230" t="str">
            <v>Chapa de alumínio - E = 1,5 mm</v>
          </cell>
          <cell r="Y230" t="str">
            <v>m²</v>
          </cell>
          <cell r="Z230">
            <v>125.46</v>
          </cell>
          <cell r="AA230">
            <v>0</v>
          </cell>
          <cell r="BC230" t="str">
            <v>M0395</v>
          </cell>
          <cell r="BD230" t="str">
            <v>Chapa de alumínio - E = 1,5 mm</v>
          </cell>
          <cell r="BE230" t="str">
            <v>m²</v>
          </cell>
          <cell r="BF230">
            <v>125.46</v>
          </cell>
          <cell r="BG230">
            <v>0</v>
          </cell>
          <cell r="CC230">
            <v>0</v>
          </cell>
          <cell r="CD230" t="str">
            <v>Pintura de faixa - tinta base acrílica - espessura de 0,6 mm</v>
          </cell>
          <cell r="CE230" t="str">
            <v>m²</v>
          </cell>
          <cell r="CF230" t="str">
            <v>não aplicada</v>
          </cell>
          <cell r="CG230">
            <v>0</v>
          </cell>
          <cell r="CH230">
            <v>1</v>
          </cell>
          <cell r="CI230">
            <v>5213401</v>
          </cell>
          <cell r="CJ230">
            <v>20.390807290896916</v>
          </cell>
          <cell r="CK230">
            <v>0</v>
          </cell>
          <cell r="CL230">
            <v>5213401</v>
          </cell>
          <cell r="CM230">
            <v>22.71825438768407</v>
          </cell>
          <cell r="CN230">
            <v>0</v>
          </cell>
        </row>
        <row r="231">
          <cell r="B231">
            <v>3806426</v>
          </cell>
          <cell r="C231" t="str">
            <v>SICRO</v>
          </cell>
          <cell r="D231" t="str">
            <v>Lançamento de pré-laje com utilização de guindauto</v>
          </cell>
          <cell r="E231" t="str">
            <v>t</v>
          </cell>
          <cell r="F231">
            <v>30.312797704447632</v>
          </cell>
          <cell r="G231">
            <v>30.312797704447632</v>
          </cell>
          <cell r="H231">
            <v>30.312797704447632</v>
          </cell>
          <cell r="I231">
            <v>0</v>
          </cell>
          <cell r="J231">
            <v>31.460803443328551</v>
          </cell>
          <cell r="K231">
            <v>31.460803443328551</v>
          </cell>
          <cell r="L231">
            <v>31.460803443328551</v>
          </cell>
          <cell r="W231" t="str">
            <v>M3233</v>
          </cell>
          <cell r="X231" t="str">
            <v>Fita adesiva estrutural dupla-face de 25 x 2 mm</v>
          </cell>
          <cell r="Y231" t="str">
            <v>m</v>
          </cell>
          <cell r="Z231">
            <v>12.619</v>
          </cell>
          <cell r="AA231">
            <v>0</v>
          </cell>
          <cell r="BC231" t="str">
            <v>M3233</v>
          </cell>
          <cell r="BD231" t="str">
            <v>Fita adesiva estrutural dupla-face de 25 x 2 mm</v>
          </cell>
          <cell r="BE231" t="str">
            <v>m</v>
          </cell>
          <cell r="BF231">
            <v>9.9466999999999999</v>
          </cell>
          <cell r="BG231">
            <v>0</v>
          </cell>
          <cell r="CC231">
            <v>0</v>
          </cell>
          <cell r="CD231" t="str">
            <v>Tacha refletiva monodirecional - fornecimento e colocação</v>
          </cell>
          <cell r="CE231" t="str">
            <v>un</v>
          </cell>
          <cell r="CF231" t="str">
            <v>não aplicada</v>
          </cell>
          <cell r="CG231">
            <v>0</v>
          </cell>
          <cell r="CH231">
            <v>1</v>
          </cell>
          <cell r="CI231">
            <v>5213359</v>
          </cell>
          <cell r="CJ231">
            <v>12.189996472111552</v>
          </cell>
          <cell r="CK231">
            <v>0</v>
          </cell>
          <cell r="CL231">
            <v>5213359</v>
          </cell>
          <cell r="CM231">
            <v>14.739324009960159</v>
          </cell>
          <cell r="CN231">
            <v>0</v>
          </cell>
        </row>
        <row r="232">
          <cell r="B232">
            <v>4011276</v>
          </cell>
          <cell r="C232" t="str">
            <v>SICRO</v>
          </cell>
          <cell r="D232" t="str">
            <v>Base ou sub-base de brita graduada com brita comercial</v>
          </cell>
          <cell r="E232" t="str">
            <v>m³</v>
          </cell>
          <cell r="F232">
            <v>122.38855302930764</v>
          </cell>
          <cell r="G232">
            <v>122.38855302930764</v>
          </cell>
          <cell r="H232">
            <v>122.38855302930764</v>
          </cell>
          <cell r="I232">
            <v>0</v>
          </cell>
          <cell r="J232">
            <v>142.3206112122283</v>
          </cell>
          <cell r="K232">
            <v>142.3206112122283</v>
          </cell>
          <cell r="L232">
            <v>142.3206112122283</v>
          </cell>
          <cell r="W232" t="str">
            <v>M0945</v>
          </cell>
          <cell r="X232" t="str">
            <v>Parafuso com porca e arruela de pressão - D = 1/4"</v>
          </cell>
          <cell r="Y232" t="str">
            <v>cj</v>
          </cell>
          <cell r="Z232">
            <v>0.33789999999999998</v>
          </cell>
          <cell r="AA232">
            <v>0</v>
          </cell>
          <cell r="BC232" t="str">
            <v>M0945</v>
          </cell>
          <cell r="BD232" t="str">
            <v>Parafuso com porca e arruela de pressão - D = 1/4"</v>
          </cell>
          <cell r="BE232" t="str">
            <v>cj</v>
          </cell>
          <cell r="BF232">
            <v>0.33789999999999998</v>
          </cell>
          <cell r="BG232">
            <v>0</v>
          </cell>
          <cell r="CC232">
            <v>0</v>
          </cell>
          <cell r="CD232" t="str">
            <v>Tacha refletiva metálica com dois pinos - bidirecional - fornecimento e colocação</v>
          </cell>
          <cell r="CE232" t="str">
            <v>un</v>
          </cell>
          <cell r="CF232" t="str">
            <v>não aplicada</v>
          </cell>
          <cell r="CG232">
            <v>0</v>
          </cell>
          <cell r="CH232">
            <v>1</v>
          </cell>
          <cell r="CI232">
            <v>5213395</v>
          </cell>
          <cell r="CJ232">
            <v>32.534966247709477</v>
          </cell>
          <cell r="CK232">
            <v>0</v>
          </cell>
          <cell r="CL232">
            <v>5213395</v>
          </cell>
          <cell r="CM232">
            <v>34.530034902548728</v>
          </cell>
          <cell r="CN232">
            <v>0</v>
          </cell>
        </row>
        <row r="233">
          <cell r="B233">
            <v>4011275</v>
          </cell>
          <cell r="C233" t="str">
            <v>SICRO</v>
          </cell>
          <cell r="D233" t="str">
            <v>Base ou sub-base de brita graduada com brita produzida</v>
          </cell>
          <cell r="E233" t="str">
            <v>m³</v>
          </cell>
          <cell r="F233">
            <v>101.30874594880225</v>
          </cell>
          <cell r="G233">
            <v>101.30874594880225</v>
          </cell>
          <cell r="H233">
            <v>101.30874594880225</v>
          </cell>
          <cell r="I233">
            <v>0</v>
          </cell>
          <cell r="J233">
            <v>100.11219713586814</v>
          </cell>
          <cell r="K233">
            <v>100.11219713586814</v>
          </cell>
          <cell r="L233">
            <v>100.11219713586814</v>
          </cell>
          <cell r="W233" t="str">
            <v>M0947</v>
          </cell>
          <cell r="X233" t="str">
            <v>Parafuso com porca e arruela de pressão - D = 10 mm</v>
          </cell>
          <cell r="Y233" t="str">
            <v>cj</v>
          </cell>
          <cell r="Z233">
            <v>0.86329999999999996</v>
          </cell>
          <cell r="AA233">
            <v>0</v>
          </cell>
          <cell r="BC233" t="str">
            <v>M0947</v>
          </cell>
          <cell r="BD233" t="str">
            <v>Parafuso com porca e arruela de pressão - D = 10 mm</v>
          </cell>
          <cell r="BE233" t="str">
            <v>cj</v>
          </cell>
          <cell r="BF233">
            <v>0.86329999999999996</v>
          </cell>
          <cell r="BG233">
            <v>0</v>
          </cell>
          <cell r="CC233" t="str">
            <v>R3,5-AC</v>
          </cell>
          <cell r="CD233" t="str">
            <v xml:space="preserve"> REFORÇO: (3,5cm) CBUQ C/ POLÍMERO - Aplicado apenas nos acostamentos (não tem pintura e tachas)</v>
          </cell>
          <cell r="CE233">
            <v>0</v>
          </cell>
          <cell r="CF233">
            <v>0</v>
          </cell>
          <cell r="CG233">
            <v>0</v>
          </cell>
          <cell r="CH233">
            <v>0</v>
          </cell>
          <cell r="CI233">
            <v>0</v>
          </cell>
          <cell r="CJ233">
            <v>0</v>
          </cell>
          <cell r="CK233">
            <v>37.538414380753764</v>
          </cell>
          <cell r="CL233">
            <v>0</v>
          </cell>
          <cell r="CM233">
            <v>0</v>
          </cell>
          <cell r="CN233">
            <v>38.673767096518461</v>
          </cell>
        </row>
        <row r="234">
          <cell r="B234">
            <v>4011278</v>
          </cell>
          <cell r="C234" t="str">
            <v>SICRO</v>
          </cell>
          <cell r="D234" t="str">
            <v>Base ou sub-base de brita graduada tratada com cimento com brita comercial</v>
          </cell>
          <cell r="E234" t="str">
            <v>m³</v>
          </cell>
          <cell r="F234">
            <v>144.78855302930765</v>
          </cell>
          <cell r="G234">
            <v>144.78855302930765</v>
          </cell>
          <cell r="H234">
            <v>144.78855302930765</v>
          </cell>
          <cell r="I234">
            <v>0</v>
          </cell>
          <cell r="J234">
            <v>163.9406112122283</v>
          </cell>
          <cell r="K234">
            <v>163.9406112122283</v>
          </cell>
          <cell r="L234">
            <v>163.9406112122283</v>
          </cell>
          <cell r="W234" t="str">
            <v>M3239</v>
          </cell>
          <cell r="X234" t="str">
            <v>Película retrorrefletiva tipo X</v>
          </cell>
          <cell r="Y234" t="str">
            <v>m²</v>
          </cell>
          <cell r="Z234">
            <v>316.84780000000001</v>
          </cell>
          <cell r="AA234">
            <v>0</v>
          </cell>
          <cell r="BC234" t="str">
            <v>M3239</v>
          </cell>
          <cell r="BD234" t="str">
            <v>Película retrorrefletiva tipo X</v>
          </cell>
          <cell r="BE234" t="str">
            <v>m²</v>
          </cell>
          <cell r="BF234">
            <v>323.2269</v>
          </cell>
          <cell r="BG234">
            <v>0</v>
          </cell>
          <cell r="CC234" t="str">
            <v>(m²)</v>
          </cell>
          <cell r="CD234" t="str">
            <v>Concreto asfáltico com asfalto polímero - faixa C - areia e brita comerciais</v>
          </cell>
          <cell r="CE234" t="str">
            <v>t</v>
          </cell>
          <cell r="CF234">
            <v>3.5</v>
          </cell>
          <cell r="CG234">
            <v>8.4000000000000005E-2</v>
          </cell>
          <cell r="CH234">
            <v>1</v>
          </cell>
          <cell r="CI234">
            <v>4011466</v>
          </cell>
          <cell r="CJ234">
            <v>130.81939260452867</v>
          </cell>
          <cell r="CK234">
            <v>14.433826863628067</v>
          </cell>
          <cell r="CL234">
            <v>4011466</v>
          </cell>
          <cell r="CM234">
            <v>135.10461380032868</v>
          </cell>
          <cell r="CN234">
            <v>14.906632459045465</v>
          </cell>
        </row>
        <row r="235">
          <cell r="B235">
            <v>4011277</v>
          </cell>
          <cell r="C235" t="str">
            <v>SICRO</v>
          </cell>
          <cell r="D235" t="str">
            <v>Base ou sub-base de brita graduada tratada com cimento com brita produzida</v>
          </cell>
          <cell r="E235" t="str">
            <v>m³</v>
          </cell>
          <cell r="F235">
            <v>130.14000994880229</v>
          </cell>
          <cell r="G235">
            <v>130.14000994880229</v>
          </cell>
          <cell r="H235">
            <v>130.14000994880229</v>
          </cell>
          <cell r="I235">
            <v>0</v>
          </cell>
          <cell r="J235">
            <v>128.34396880253479</v>
          </cell>
          <cell r="K235">
            <v>128.34396880253479</v>
          </cell>
          <cell r="L235">
            <v>128.34396880253479</v>
          </cell>
          <cell r="W235" t="str">
            <v>M0429</v>
          </cell>
          <cell r="X235" t="str">
            <v>Perfil de alumínio L421 de 33 x 40 mm</v>
          </cell>
          <cell r="Y235" t="str">
            <v>m</v>
          </cell>
          <cell r="Z235">
            <v>10.6812</v>
          </cell>
          <cell r="AA235">
            <v>0</v>
          </cell>
          <cell r="BC235" t="str">
            <v>M0429</v>
          </cell>
          <cell r="BD235" t="str">
            <v>Perfil de alumínio L421 de 33 x 40 mm</v>
          </cell>
          <cell r="BE235" t="str">
            <v>m</v>
          </cell>
          <cell r="BF235">
            <v>10.6812</v>
          </cell>
          <cell r="BG235">
            <v>0</v>
          </cell>
          <cell r="CC235">
            <v>0</v>
          </cell>
          <cell r="CD235" t="str">
            <v>Fornecimento de Material Betuminoso c/ polímero SBS</v>
          </cell>
          <cell r="CE235" t="str">
            <v>t</v>
          </cell>
          <cell r="CF235" t="str">
            <v>0,057732 t</v>
          </cell>
          <cell r="CG235">
            <v>4.8494879999999999E-3</v>
          </cell>
          <cell r="CH235">
            <v>1</v>
          </cell>
          <cell r="CI235" t="str">
            <v>CPU10</v>
          </cell>
          <cell r="CJ235">
            <v>4481.4349761078774</v>
          </cell>
          <cell r="CK235">
            <v>21.732665139415438</v>
          </cell>
          <cell r="CL235" t="str">
            <v>CPU10-1</v>
          </cell>
          <cell r="CM235">
            <v>4614.4401264709131</v>
          </cell>
          <cell r="CN235">
            <v>22.377672020039174</v>
          </cell>
        </row>
        <row r="236">
          <cell r="B236">
            <v>4011279</v>
          </cell>
          <cell r="C236" t="str">
            <v>SICRO</v>
          </cell>
          <cell r="D236" t="str">
            <v>Base ou sub-base de macadame seco com brita comercial</v>
          </cell>
          <cell r="E236" t="str">
            <v>m³</v>
          </cell>
          <cell r="F236">
            <v>96.077032358580979</v>
          </cell>
          <cell r="G236">
            <v>96.077032358580979</v>
          </cell>
          <cell r="H236">
            <v>96.077032358580979</v>
          </cell>
          <cell r="I236">
            <v>0</v>
          </cell>
          <cell r="J236">
            <v>113.25808492812669</v>
          </cell>
          <cell r="K236">
            <v>113.25808492812669</v>
          </cell>
          <cell r="L236">
            <v>113.25808492812669</v>
          </cell>
          <cell r="W236" t="str">
            <v>M0773</v>
          </cell>
          <cell r="X236" t="str">
            <v>Perfil de alumínio L463 de 50 x 50 mm</v>
          </cell>
          <cell r="Y236" t="str">
            <v>m</v>
          </cell>
          <cell r="Z236">
            <v>24.877800000000001</v>
          </cell>
          <cell r="AA236">
            <v>0</v>
          </cell>
          <cell r="BC236" t="str">
            <v>M0773</v>
          </cell>
          <cell r="BD236" t="str">
            <v>Perfil de alumínio L463 de 50 x 50 mm</v>
          </cell>
          <cell r="BE236" t="str">
            <v>m</v>
          </cell>
          <cell r="BF236">
            <v>24.877800000000001</v>
          </cell>
          <cell r="BG236">
            <v>0</v>
          </cell>
          <cell r="CC236">
            <v>0</v>
          </cell>
          <cell r="CD236" t="str">
            <v>Pintura de ligação</v>
          </cell>
          <cell r="CE236" t="str">
            <v>m²</v>
          </cell>
          <cell r="CF236">
            <v>1</v>
          </cell>
          <cell r="CG236">
            <v>1</v>
          </cell>
          <cell r="CH236">
            <v>1</v>
          </cell>
          <cell r="CI236">
            <v>4011353</v>
          </cell>
          <cell r="CJ236">
            <v>0.18392808219669335</v>
          </cell>
          <cell r="CK236">
            <v>0.24158953596535671</v>
          </cell>
          <cell r="CL236">
            <v>4011353</v>
          </cell>
          <cell r="CM236">
            <v>0.18912484066666665</v>
          </cell>
          <cell r="CN236">
            <v>0.24841547821566662</v>
          </cell>
        </row>
        <row r="237">
          <cell r="B237">
            <v>4011280</v>
          </cell>
          <cell r="C237" t="str">
            <v>SICRO</v>
          </cell>
          <cell r="D237" t="str">
            <v>Base ou sub-base de macadame seco com brita produzida</v>
          </cell>
          <cell r="E237" t="str">
            <v>m³</v>
          </cell>
          <cell r="F237">
            <v>85.175477298692201</v>
          </cell>
          <cell r="G237">
            <v>85.175477298692201</v>
          </cell>
          <cell r="H237">
            <v>85.175477298692201</v>
          </cell>
          <cell r="I237">
            <v>0</v>
          </cell>
          <cell r="J237">
            <v>84.132574236778567</v>
          </cell>
          <cell r="K237">
            <v>84.132574236778567</v>
          </cell>
          <cell r="L237">
            <v>84.132574236778567</v>
          </cell>
          <cell r="W237" t="str">
            <v>M0825</v>
          </cell>
          <cell r="X237" t="str">
            <v>Pórtico metálico para vão de 9,2 m e vento de 40 m/s</v>
          </cell>
          <cell r="Y237" t="str">
            <v>un</v>
          </cell>
          <cell r="Z237">
            <v>26579.5</v>
          </cell>
          <cell r="AA237">
            <v>0</v>
          </cell>
          <cell r="BC237" t="str">
            <v>M0825</v>
          </cell>
          <cell r="BD237" t="str">
            <v>Pórtico metálico para vão de 9,2 m e vento de 40 m/s</v>
          </cell>
          <cell r="BE237" t="str">
            <v>un</v>
          </cell>
          <cell r="BF237">
            <v>26823.510300000002</v>
          </cell>
          <cell r="BG237">
            <v>0</v>
          </cell>
          <cell r="CC237">
            <v>0</v>
          </cell>
          <cell r="CD237" t="str">
            <v>Fornecimento de emulsão RR-1C</v>
          </cell>
          <cell r="CE237" t="str">
            <v>t</v>
          </cell>
          <cell r="CF237" t="str">
            <v>0,00045 t</v>
          </cell>
          <cell r="CG237">
            <v>4.4999999999999999E-4</v>
          </cell>
          <cell r="CH237">
            <v>1</v>
          </cell>
          <cell r="CI237" t="str">
            <v>CPU04</v>
          </cell>
          <cell r="CJ237">
            <v>2511.8507594331254</v>
          </cell>
          <cell r="CK237">
            <v>1.1303328417449063</v>
          </cell>
          <cell r="CL237" t="str">
            <v>CPU04-1</v>
          </cell>
          <cell r="CM237">
            <v>2535.6603093736671</v>
          </cell>
          <cell r="CN237">
            <v>1.1410471392181503</v>
          </cell>
        </row>
        <row r="238">
          <cell r="B238">
            <v>4011313</v>
          </cell>
          <cell r="C238" t="str">
            <v>SICRO</v>
          </cell>
          <cell r="D238" t="str">
            <v>Base de solo-cimento com 7% de cimento e mistura em usina com material de jazida</v>
          </cell>
          <cell r="E238" t="str">
            <v>m³</v>
          </cell>
          <cell r="F238">
            <v>60.470544247073072</v>
          </cell>
          <cell r="G238">
            <v>60.470544247073072</v>
          </cell>
          <cell r="H238">
            <v>60.470544247073072</v>
          </cell>
          <cell r="I238">
            <v>0</v>
          </cell>
          <cell r="J238">
            <v>60.647388273884012</v>
          </cell>
          <cell r="K238">
            <v>60.647388273884012</v>
          </cell>
          <cell r="L238">
            <v>60.647388273884012</v>
          </cell>
          <cell r="W238">
            <v>407740</v>
          </cell>
          <cell r="X238" t="str">
            <v>Chumbador tipo espera em aço CA-25 para fixação de estrutura metálica em concreto - fornecimento e instalação</v>
          </cell>
          <cell r="Y238" t="str">
            <v>kg</v>
          </cell>
          <cell r="Z238">
            <v>10.34</v>
          </cell>
          <cell r="AA238">
            <v>0</v>
          </cell>
          <cell r="BC238">
            <v>407740</v>
          </cell>
          <cell r="BD238" t="str">
            <v>Chumbador tipo espera em aço CA-25 para fixação de estrutura metálica em concreto - fornecimento e instalação</v>
          </cell>
          <cell r="BE238" t="str">
            <v>kg</v>
          </cell>
          <cell r="BF238">
            <v>11.49</v>
          </cell>
          <cell r="BG238">
            <v>0</v>
          </cell>
          <cell r="CC238">
            <v>0</v>
          </cell>
          <cell r="CD238" t="str">
            <v>Pintura de faixa - tinta base acrílica - espessura de 0,6 mm</v>
          </cell>
          <cell r="CE238" t="str">
            <v>m²</v>
          </cell>
          <cell r="CF238" t="str">
            <v>não aplicada</v>
          </cell>
          <cell r="CG238">
            <v>0</v>
          </cell>
          <cell r="CH238">
            <v>1</v>
          </cell>
          <cell r="CI238">
            <v>5213401</v>
          </cell>
          <cell r="CJ238">
            <v>20.390807290896916</v>
          </cell>
          <cell r="CK238">
            <v>0</v>
          </cell>
          <cell r="CL238">
            <v>5213401</v>
          </cell>
          <cell r="CM238">
            <v>22.71825438768407</v>
          </cell>
          <cell r="CN238">
            <v>0</v>
          </cell>
        </row>
        <row r="239">
          <cell r="B239">
            <v>4011459</v>
          </cell>
          <cell r="C239" t="str">
            <v>SICRO</v>
          </cell>
          <cell r="D239" t="str">
            <v>Concreto asfáltico - faixa B - areia e brita comerciais</v>
          </cell>
          <cell r="E239" t="str">
            <v>t</v>
          </cell>
          <cell r="F239">
            <v>123.09799260452866</v>
          </cell>
          <cell r="G239">
            <v>123.09799260452866</v>
          </cell>
          <cell r="H239">
            <v>123.09799260452866</v>
          </cell>
          <cell r="I239">
            <v>0</v>
          </cell>
          <cell r="J239">
            <v>128.04956019277108</v>
          </cell>
          <cell r="K239">
            <v>128.04956019277108</v>
          </cell>
          <cell r="L239">
            <v>128.04956019277108</v>
          </cell>
          <cell r="W239" t="str">
            <v>E9082</v>
          </cell>
          <cell r="X239" t="str">
            <v>Bate-estaca hidráulico para defensas montado em caminhão guindauto com capacidade de 20 t.m e carroceria de 4 t - 136 kW</v>
          </cell>
          <cell r="Y239" t="str">
            <v>h</v>
          </cell>
          <cell r="Z239">
            <v>222.66470000000001</v>
          </cell>
          <cell r="AA239">
            <v>120.2762</v>
          </cell>
          <cell r="BC239" t="str">
            <v>E9082</v>
          </cell>
          <cell r="BD239" t="str">
            <v>Bate-estaca hidráulico para defensas montado em caminhão guindauto com capacidade de 20 t.m e carroceria de 4 t - 136 kW</v>
          </cell>
          <cell r="BE239" t="str">
            <v>h</v>
          </cell>
          <cell r="BF239">
            <v>209.09350000000001</v>
          </cell>
          <cell r="BG239">
            <v>107.9016</v>
          </cell>
          <cell r="CC239">
            <v>0</v>
          </cell>
          <cell r="CD239" t="str">
            <v>Tacha refletiva monodirecional - fornecimento e colocação</v>
          </cell>
          <cell r="CE239" t="str">
            <v>un</v>
          </cell>
          <cell r="CF239" t="str">
            <v>não aplicada</v>
          </cell>
          <cell r="CG239">
            <v>0</v>
          </cell>
          <cell r="CH239">
            <v>1</v>
          </cell>
          <cell r="CI239">
            <v>5213359</v>
          </cell>
          <cell r="CJ239">
            <v>12.189996472111552</v>
          </cell>
          <cell r="CK239">
            <v>0</v>
          </cell>
          <cell r="CL239">
            <v>5213359</v>
          </cell>
          <cell r="CM239">
            <v>14.739324009960159</v>
          </cell>
          <cell r="CN239">
            <v>0</v>
          </cell>
        </row>
        <row r="240">
          <cell r="B240">
            <v>4011462</v>
          </cell>
          <cell r="C240" t="str">
            <v>SICRO</v>
          </cell>
          <cell r="D240" t="str">
            <v>Concreto asfáltico - faixa C - areia extraída, brita produzida</v>
          </cell>
          <cell r="E240" t="str">
            <v>t</v>
          </cell>
          <cell r="F240">
            <v>122.41738652090939</v>
          </cell>
          <cell r="G240">
            <v>122.41738652090939</v>
          </cell>
          <cell r="H240">
            <v>122.41738652090939</v>
          </cell>
          <cell r="I240">
            <v>0</v>
          </cell>
          <cell r="J240">
            <v>105.88161380032867</v>
          </cell>
          <cell r="K240">
            <v>121.45984714203149</v>
          </cell>
          <cell r="L240">
            <v>105.88161380032867</v>
          </cell>
          <cell r="W240" t="str">
            <v>M1968</v>
          </cell>
          <cell r="X240" t="str">
            <v>Defensa metálica semi-maleável simples</v>
          </cell>
          <cell r="Y240" t="str">
            <v>un</v>
          </cell>
          <cell r="Z240">
            <v>832</v>
          </cell>
          <cell r="AA240">
            <v>0</v>
          </cell>
          <cell r="BC240" t="str">
            <v>M1968</v>
          </cell>
          <cell r="BD240" t="str">
            <v>Defensa metálica semi-maleável simples</v>
          </cell>
          <cell r="BE240" t="str">
            <v>un</v>
          </cell>
          <cell r="BF240">
            <v>832</v>
          </cell>
          <cell r="BG240">
            <v>0</v>
          </cell>
          <cell r="CC240">
            <v>0</v>
          </cell>
          <cell r="CD240" t="str">
            <v>Tacha refletiva metálica com dois pinos - bidirecional - fornecimento e colocação</v>
          </cell>
          <cell r="CE240" t="str">
            <v>un</v>
          </cell>
          <cell r="CF240" t="str">
            <v>não aplicada</v>
          </cell>
          <cell r="CG240">
            <v>0</v>
          </cell>
          <cell r="CH240">
            <v>1</v>
          </cell>
          <cell r="CI240">
            <v>5213395</v>
          </cell>
          <cell r="CJ240">
            <v>32.534966247709477</v>
          </cell>
          <cell r="CK240">
            <v>0</v>
          </cell>
          <cell r="CL240">
            <v>5213395</v>
          </cell>
          <cell r="CM240">
            <v>34.530034902548728</v>
          </cell>
          <cell r="CN240">
            <v>0</v>
          </cell>
        </row>
        <row r="241">
          <cell r="B241">
            <v>4011466</v>
          </cell>
          <cell r="C241" t="str">
            <v>SICRO</v>
          </cell>
          <cell r="D241" t="str">
            <v>Concreto asfáltico com asfalto polímero - faixa C - areia e brita comerciais</v>
          </cell>
          <cell r="E241" t="str">
            <v>t</v>
          </cell>
          <cell r="F241">
            <v>130.81939260452867</v>
          </cell>
          <cell r="G241">
            <v>130.81939260452867</v>
          </cell>
          <cell r="H241">
            <v>130.81939260452867</v>
          </cell>
          <cell r="I241">
            <v>0</v>
          </cell>
          <cell r="J241">
            <v>135.10461380032868</v>
          </cell>
          <cell r="K241">
            <v>135.10461380032868</v>
          </cell>
          <cell r="L241">
            <v>135.10461380032868</v>
          </cell>
          <cell r="W241" t="str">
            <v>M1387</v>
          </cell>
          <cell r="X241" t="str">
            <v>Adesivo estrutural à base de resina epóxi</v>
          </cell>
          <cell r="Y241" t="str">
            <v>kg</v>
          </cell>
          <cell r="Z241">
            <v>38.663699999999999</v>
          </cell>
          <cell r="AA241">
            <v>0</v>
          </cell>
          <cell r="BC241" t="str">
            <v>M1387</v>
          </cell>
          <cell r="BD241" t="str">
            <v>Adesivo estrutural à base de resina epóxi</v>
          </cell>
          <cell r="BE241" t="str">
            <v>kg</v>
          </cell>
          <cell r="BF241">
            <v>46.805999999999997</v>
          </cell>
          <cell r="BG241">
            <v>0</v>
          </cell>
          <cell r="CC241" t="str">
            <v>R4-AC</v>
          </cell>
          <cell r="CD241" t="str">
            <v xml:space="preserve"> REFORÇO: (4cm) CBUQ C/ POLÍMERO - Aplicado apenas nos acostamentos (não tem pintura e tachas)</v>
          </cell>
          <cell r="CE241">
            <v>0</v>
          </cell>
          <cell r="CF241">
            <v>0</v>
          </cell>
          <cell r="CG241">
            <v>0</v>
          </cell>
          <cell r="CH241">
            <v>0</v>
          </cell>
          <cell r="CI241">
            <v>0</v>
          </cell>
          <cell r="CJ241">
            <v>0</v>
          </cell>
          <cell r="CK241">
            <v>42.705056095474262</v>
          </cell>
          <cell r="CL241">
            <v>0</v>
          </cell>
          <cell r="CM241">
            <v>0</v>
          </cell>
          <cell r="CN241">
            <v>44.000096307816264</v>
          </cell>
        </row>
        <row r="242">
          <cell r="B242">
            <v>4011352</v>
          </cell>
          <cell r="C242" t="str">
            <v>SICRO</v>
          </cell>
          <cell r="D242" t="str">
            <v>Imprimação com emulsão asfáltica</v>
          </cell>
          <cell r="E242" t="str">
            <v>m²</v>
          </cell>
          <cell r="F242">
            <v>0.22619742236995555</v>
          </cell>
          <cell r="G242">
            <v>0.22619742236995555</v>
          </cell>
          <cell r="H242">
            <v>0.22619742236995555</v>
          </cell>
          <cell r="I242">
            <v>0</v>
          </cell>
          <cell r="J242">
            <v>0.23301769333333333</v>
          </cell>
          <cell r="K242">
            <v>0.23301769333333333</v>
          </cell>
          <cell r="L242">
            <v>0.23301769333333333</v>
          </cell>
          <cell r="W242" t="str">
            <v>M2003</v>
          </cell>
          <cell r="X242" t="str">
            <v>Amortecedor retrátil tipo TAU II afunilado PCB com velocidade de 100 km/h e âncora traseira de 1.680 mm</v>
          </cell>
          <cell r="Y242" t="str">
            <v>un</v>
          </cell>
          <cell r="Z242">
            <v>133019.2727</v>
          </cell>
          <cell r="AA242">
            <v>0</v>
          </cell>
          <cell r="BC242" t="str">
            <v>M2003</v>
          </cell>
          <cell r="BD242" t="str">
            <v>Amortecedor retrátil tipo TAU II afunilado PCB com velocidade de 100 km/h e âncora traseira de 1.680 mm</v>
          </cell>
          <cell r="BE242" t="str">
            <v>un</v>
          </cell>
          <cell r="BF242">
            <v>132892.48499999999</v>
          </cell>
          <cell r="BG242">
            <v>0</v>
          </cell>
          <cell r="CC242" t="str">
            <v>(m²)</v>
          </cell>
          <cell r="CD242" t="str">
            <v>Concreto asfáltico com asfalto polímero - faixa C - areia e brita comerciais</v>
          </cell>
          <cell r="CE242" t="str">
            <v>t</v>
          </cell>
          <cell r="CF242">
            <v>4</v>
          </cell>
          <cell r="CG242">
            <v>9.6000000000000002E-2</v>
          </cell>
          <cell r="CH242">
            <v>1</v>
          </cell>
          <cell r="CI242">
            <v>4011466</v>
          </cell>
          <cell r="CJ242">
            <v>130.81939260452867</v>
          </cell>
          <cell r="CK242">
            <v>16.495802129860646</v>
          </cell>
          <cell r="CL242">
            <v>4011466</v>
          </cell>
          <cell r="CM242">
            <v>135.10461380032868</v>
          </cell>
          <cell r="CN242">
            <v>17.036151381766242</v>
          </cell>
        </row>
        <row r="243">
          <cell r="B243">
            <v>4011533</v>
          </cell>
          <cell r="C243" t="str">
            <v>SICRO</v>
          </cell>
          <cell r="D243" t="str">
            <v>Pavimento de concreto com formas deslizantes - areia e brita comerciais</v>
          </cell>
          <cell r="E243" t="str">
            <v>m³</v>
          </cell>
          <cell r="F243">
            <v>236.2061570687539</v>
          </cell>
          <cell r="G243">
            <v>236.2061570687539</v>
          </cell>
          <cell r="H243">
            <v>236.2061570687539</v>
          </cell>
          <cell r="I243">
            <v>0</v>
          </cell>
          <cell r="J243">
            <v>251.7226618119995</v>
          </cell>
          <cell r="K243">
            <v>251.7226618119995</v>
          </cell>
          <cell r="L243">
            <v>251.7226618119995</v>
          </cell>
          <cell r="W243" t="str">
            <v>M2074</v>
          </cell>
          <cell r="X243" t="str">
            <v>Cartuchos de absorção para amortecedor retrátil de energia tipo A</v>
          </cell>
          <cell r="Y243" t="str">
            <v>un</v>
          </cell>
          <cell r="Z243">
            <v>2192.3258999999998</v>
          </cell>
          <cell r="AA243">
            <v>0</v>
          </cell>
          <cell r="BC243" t="str">
            <v>M2074</v>
          </cell>
          <cell r="BD243" t="str">
            <v>Cartuchos de absorção para amortecedor retrátil de energia tipo A</v>
          </cell>
          <cell r="BE243" t="str">
            <v>un</v>
          </cell>
          <cell r="BF243">
            <v>2186.54</v>
          </cell>
          <cell r="BG243">
            <v>0</v>
          </cell>
          <cell r="CC243">
            <v>0</v>
          </cell>
          <cell r="CD243" t="str">
            <v>Fornecimento de Material Betuminoso c/ polímero SBS</v>
          </cell>
          <cell r="CE243" t="str">
            <v>t</v>
          </cell>
          <cell r="CF243" t="str">
            <v>0,057732 t</v>
          </cell>
          <cell r="CG243">
            <v>5.542272E-3</v>
          </cell>
          <cell r="CH243">
            <v>1</v>
          </cell>
          <cell r="CI243" t="str">
            <v>CPU10</v>
          </cell>
          <cell r="CJ243">
            <v>4481.4349761078774</v>
          </cell>
          <cell r="CK243">
            <v>24.837331587903357</v>
          </cell>
          <cell r="CL243" t="str">
            <v>CPU10-1</v>
          </cell>
          <cell r="CM243">
            <v>4614.4401264709131</v>
          </cell>
          <cell r="CN243">
            <v>25.574482308616201</v>
          </cell>
        </row>
        <row r="244">
          <cell r="B244">
            <v>4011353</v>
          </cell>
          <cell r="C244" t="str">
            <v>SICRO</v>
          </cell>
          <cell r="D244" t="str">
            <v>Pintura de ligação</v>
          </cell>
          <cell r="E244" t="str">
            <v>m²</v>
          </cell>
          <cell r="F244">
            <v>0.18392808219669335</v>
          </cell>
          <cell r="G244">
            <v>0.18392808219669335</v>
          </cell>
          <cell r="H244">
            <v>0.18392808219669335</v>
          </cell>
          <cell r="I244">
            <v>0</v>
          </cell>
          <cell r="J244">
            <v>0.18912484066666665</v>
          </cell>
          <cell r="K244">
            <v>0.18912484066666665</v>
          </cell>
          <cell r="L244">
            <v>0.18912484066666665</v>
          </cell>
          <cell r="W244" t="str">
            <v>M2075</v>
          </cell>
          <cell r="X244" t="str">
            <v>Cartuchos de absorção para amortecedor retrátil de energia tipo B</v>
          </cell>
          <cell r="Y244" t="str">
            <v>un</v>
          </cell>
          <cell r="Z244">
            <v>2081.9958999999999</v>
          </cell>
          <cell r="AA244">
            <v>0</v>
          </cell>
          <cell r="BC244" t="str">
            <v>M2075</v>
          </cell>
          <cell r="BD244" t="str">
            <v>Cartuchos de absorção para amortecedor retrátil de energia tipo B</v>
          </cell>
          <cell r="BE244" t="str">
            <v>un</v>
          </cell>
          <cell r="BF244">
            <v>2076.21</v>
          </cell>
          <cell r="BG244">
            <v>0</v>
          </cell>
          <cell r="CC244">
            <v>0</v>
          </cell>
          <cell r="CD244" t="str">
            <v>Pintura de ligação</v>
          </cell>
          <cell r="CE244" t="str">
            <v>m²</v>
          </cell>
          <cell r="CF244">
            <v>1</v>
          </cell>
          <cell r="CG244">
            <v>1</v>
          </cell>
          <cell r="CH244">
            <v>1</v>
          </cell>
          <cell r="CI244">
            <v>4011353</v>
          </cell>
          <cell r="CJ244">
            <v>0.18392808219669335</v>
          </cell>
          <cell r="CK244">
            <v>0.24158953596535671</v>
          </cell>
          <cell r="CL244">
            <v>4011353</v>
          </cell>
          <cell r="CM244">
            <v>0.18912484066666665</v>
          </cell>
          <cell r="CN244">
            <v>0.24841547821566662</v>
          </cell>
        </row>
        <row r="245">
          <cell r="B245">
            <v>4011211</v>
          </cell>
          <cell r="C245" t="str">
            <v>SICRO</v>
          </cell>
          <cell r="D245" t="str">
            <v>Reforço do subleito com material de jazida</v>
          </cell>
          <cell r="E245" t="str">
            <v>m³</v>
          </cell>
          <cell r="F245">
            <v>7.7998154041689665</v>
          </cell>
          <cell r="G245">
            <v>7.7998154041689665</v>
          </cell>
          <cell r="H245">
            <v>7.7998154041689665</v>
          </cell>
          <cell r="I245">
            <v>0</v>
          </cell>
          <cell r="J245">
            <v>7.9663349122035267</v>
          </cell>
          <cell r="K245">
            <v>7.9663349122035267</v>
          </cell>
          <cell r="L245">
            <v>7.9663349122035267</v>
          </cell>
          <cell r="W245">
            <v>3807865</v>
          </cell>
          <cell r="X245" t="str">
            <v>Chumbador para concreto D = 20 mm tipo tecbolt - fornecimento e instalação</v>
          </cell>
          <cell r="Y245" t="str">
            <v>un</v>
          </cell>
          <cell r="Z245">
            <v>19.84</v>
          </cell>
          <cell r="AA245">
            <v>0</v>
          </cell>
          <cell r="BC245">
            <v>3807865</v>
          </cell>
          <cell r="BD245" t="str">
            <v>Chumbador para concreto D = 20 mm tipo tecbolt - fornecimento e instalação</v>
          </cell>
          <cell r="BE245" t="str">
            <v>un</v>
          </cell>
          <cell r="BF245">
            <v>19.75</v>
          </cell>
          <cell r="BG245">
            <v>0</v>
          </cell>
          <cell r="CC245">
            <v>0</v>
          </cell>
          <cell r="CD245" t="str">
            <v>Fornecimento de emulsão RR-1C</v>
          </cell>
          <cell r="CE245" t="str">
            <v>t</v>
          </cell>
          <cell r="CF245" t="str">
            <v>0,00045 t</v>
          </cell>
          <cell r="CG245">
            <v>4.4999999999999999E-4</v>
          </cell>
          <cell r="CH245">
            <v>1</v>
          </cell>
          <cell r="CI245" t="str">
            <v>CPU04</v>
          </cell>
          <cell r="CJ245">
            <v>2511.8507594331254</v>
          </cell>
          <cell r="CK245">
            <v>1.1303328417449063</v>
          </cell>
          <cell r="CL245" t="str">
            <v>CPU04-1</v>
          </cell>
          <cell r="CM245">
            <v>2535.6603093736671</v>
          </cell>
          <cell r="CN245">
            <v>1.1410471392181503</v>
          </cell>
        </row>
        <row r="246">
          <cell r="B246">
            <v>4011209</v>
          </cell>
          <cell r="C246" t="str">
            <v>SICRO</v>
          </cell>
          <cell r="D246" t="str">
            <v>Regularização do subleito</v>
          </cell>
          <cell r="E246" t="str">
            <v>m²</v>
          </cell>
          <cell r="F246">
            <v>0.73238271344965511</v>
          </cell>
          <cell r="G246">
            <v>0.73238271344965511</v>
          </cell>
          <cell r="H246">
            <v>0.73238271344965511</v>
          </cell>
          <cell r="I246">
            <v>0</v>
          </cell>
          <cell r="J246">
            <v>0.74802643610214026</v>
          </cell>
          <cell r="K246">
            <v>0.74802643610214026</v>
          </cell>
          <cell r="L246">
            <v>0.74802643610214026</v>
          </cell>
          <cell r="W246">
            <v>3713822</v>
          </cell>
          <cell r="X246" t="str">
            <v xml:space="preserve">Confecção de barreira dupla de concreto, armada, pré-moldada (perfil New Jersey) - L &gt; 3,00 m e 810 ≤ H ≤ 1.070 mm </v>
          </cell>
          <cell r="Y246" t="str">
            <v>m</v>
          </cell>
          <cell r="Z246">
            <v>573.45000000000005</v>
          </cell>
          <cell r="AA246">
            <v>0</v>
          </cell>
          <cell r="BC246">
            <v>3713822</v>
          </cell>
          <cell r="BD246" t="str">
            <v xml:space="preserve">Confecção de barreira dupla de concreto, armada, pré-moldada (perfil New Jersey) - L &gt; 3,00 m e 810 ≤ H ≤ 1.070 mm </v>
          </cell>
          <cell r="BE246" t="str">
            <v>m</v>
          </cell>
          <cell r="BF246">
            <v>550.16999999999996</v>
          </cell>
          <cell r="BG246">
            <v>0</v>
          </cell>
          <cell r="CC246">
            <v>0</v>
          </cell>
          <cell r="CD246" t="str">
            <v>Pintura de faixa - tinta base acrílica - espessura de 0,6 mm</v>
          </cell>
          <cell r="CE246" t="str">
            <v>m²</v>
          </cell>
          <cell r="CF246" t="str">
            <v>não aplicada</v>
          </cell>
          <cell r="CG246">
            <v>0</v>
          </cell>
          <cell r="CH246">
            <v>1</v>
          </cell>
          <cell r="CI246">
            <v>5213401</v>
          </cell>
          <cell r="CJ246">
            <v>20.390807290896916</v>
          </cell>
          <cell r="CK246">
            <v>0</v>
          </cell>
          <cell r="CL246">
            <v>5213401</v>
          </cell>
          <cell r="CM246">
            <v>22.71825438768407</v>
          </cell>
          <cell r="CN246">
            <v>0</v>
          </cell>
        </row>
        <row r="247">
          <cell r="B247">
            <v>4011214</v>
          </cell>
          <cell r="C247" t="str">
            <v>SICRO</v>
          </cell>
          <cell r="D247" t="str">
            <v>Sub-base de concreto compactado com rolo com brita comercial</v>
          </cell>
          <cell r="E247" t="str">
            <v>m³</v>
          </cell>
          <cell r="F247">
            <v>153.5947668231691</v>
          </cell>
          <cell r="G247">
            <v>153.5947668231691</v>
          </cell>
          <cell r="H247">
            <v>153.5947668231691</v>
          </cell>
          <cell r="I247">
            <v>0</v>
          </cell>
          <cell r="J247">
            <v>165.74620396845424</v>
          </cell>
          <cell r="K247">
            <v>165.74620396845424</v>
          </cell>
          <cell r="L247">
            <v>165.74620396845424</v>
          </cell>
          <cell r="W247">
            <v>3777</v>
          </cell>
          <cell r="X247" t="str">
            <v>LONA PLASTICA PRETA, E= 150 MICRA</v>
          </cell>
          <cell r="Y247" t="str">
            <v>M2</v>
          </cell>
          <cell r="Z247">
            <v>0.82</v>
          </cell>
          <cell r="AA247">
            <v>0</v>
          </cell>
          <cell r="BC247" t="str">
            <v>E9041</v>
          </cell>
          <cell r="BD247" t="str">
            <v>Caminhão carroceria com guindauto com capacidade de 45 t.m - 188 kW</v>
          </cell>
          <cell r="BE247" t="str">
            <v>h</v>
          </cell>
          <cell r="BF247">
            <v>223.00729999999999</v>
          </cell>
          <cell r="BG247">
            <v>92.377399999999994</v>
          </cell>
          <cell r="CC247">
            <v>0</v>
          </cell>
          <cell r="CD247" t="str">
            <v>Tacha refletiva monodirecional - fornecimento e colocação</v>
          </cell>
          <cell r="CE247" t="str">
            <v>un</v>
          </cell>
          <cell r="CF247" t="str">
            <v>não aplicada</v>
          </cell>
          <cell r="CG247">
            <v>0</v>
          </cell>
          <cell r="CH247">
            <v>1</v>
          </cell>
          <cell r="CI247">
            <v>5213359</v>
          </cell>
          <cell r="CJ247">
            <v>12.189996472111552</v>
          </cell>
          <cell r="CK247">
            <v>0</v>
          </cell>
          <cell r="CL247">
            <v>5213359</v>
          </cell>
          <cell r="CM247">
            <v>14.739324009960159</v>
          </cell>
          <cell r="CN247">
            <v>0</v>
          </cell>
        </row>
        <row r="248">
          <cell r="B248">
            <v>4413996</v>
          </cell>
          <cell r="C248" t="str">
            <v>SICRO</v>
          </cell>
          <cell r="D248" t="str">
            <v>Enleivamento</v>
          </cell>
          <cell r="E248" t="str">
            <v>m²</v>
          </cell>
          <cell r="F248">
            <v>9.2091651999999975</v>
          </cell>
          <cell r="G248">
            <v>9.2091651999999975</v>
          </cell>
          <cell r="H248">
            <v>9.2091651999999975</v>
          </cell>
          <cell r="I248">
            <v>0</v>
          </cell>
          <cell r="J248">
            <v>9.4696610000000003</v>
          </cell>
          <cell r="K248">
            <v>9.4696610000000003</v>
          </cell>
          <cell r="L248">
            <v>9.4696610000000003</v>
          </cell>
          <cell r="W248">
            <v>4517</v>
          </cell>
          <cell r="X248" t="str">
            <v>SARRAFO DE MADEIRA NAO APARELHADA *2,5 X 7,5* CM (1 X 3 ") PINUS, MISTA OU EQUIVALENTE DA REGIAO</v>
          </cell>
          <cell r="Y248" t="str">
            <v>M</v>
          </cell>
          <cell r="Z248">
            <v>1.36</v>
          </cell>
          <cell r="AA248">
            <v>0</v>
          </cell>
          <cell r="BC248">
            <v>5915015</v>
          </cell>
          <cell r="BD248" t="str">
            <v>Carga, manobra e descarga de materiais diversos em caminhão carroceria com guindauto com capacidade de 45 t.m</v>
          </cell>
          <cell r="BE248" t="str">
            <v>t</v>
          </cell>
          <cell r="BF248">
            <v>12.95</v>
          </cell>
          <cell r="BG248">
            <v>0</v>
          </cell>
          <cell r="CC248">
            <v>0</v>
          </cell>
          <cell r="CD248" t="str">
            <v>Tacha refletiva metálica com dois pinos - bidirecional - fornecimento e colocação</v>
          </cell>
          <cell r="CE248" t="str">
            <v>un</v>
          </cell>
          <cell r="CF248" t="str">
            <v>não aplicada</v>
          </cell>
          <cell r="CG248">
            <v>0</v>
          </cell>
          <cell r="CH248">
            <v>1</v>
          </cell>
          <cell r="CI248">
            <v>5213395</v>
          </cell>
          <cell r="CJ248">
            <v>32.534966247709477</v>
          </cell>
          <cell r="CK248">
            <v>0</v>
          </cell>
          <cell r="CL248">
            <v>5213395</v>
          </cell>
          <cell r="CM248">
            <v>34.530034902548728</v>
          </cell>
          <cell r="CN248">
            <v>0</v>
          </cell>
        </row>
        <row r="249">
          <cell r="B249">
            <v>4413984</v>
          </cell>
          <cell r="C249" t="str">
            <v>SICRO</v>
          </cell>
          <cell r="D249" t="str">
            <v>Regularização de bota-fora com espalhamento, compactação e execução de hidrossemeadura</v>
          </cell>
          <cell r="E249" t="str">
            <v>m³</v>
          </cell>
          <cell r="F249">
            <v>5.0765617608844833</v>
          </cell>
          <cell r="G249">
            <v>5.0765617608844833</v>
          </cell>
          <cell r="H249">
            <v>5.0765617608844833</v>
          </cell>
          <cell r="I249">
            <v>0</v>
          </cell>
          <cell r="J249">
            <v>5.0519190776838894</v>
          </cell>
          <cell r="K249">
            <v>5.0519190776838894</v>
          </cell>
          <cell r="L249">
            <v>5.0519190776838894</v>
          </cell>
          <cell r="W249">
            <v>7156</v>
          </cell>
          <cell r="X249" t="str">
            <v>TELA DE ACO SOLDADA NERVURADA, CA-60, Q-196, (3,11 KG/M2), DIAMETRO DO FIO = 5,0 MM, LARGURA =  2,45 M, ESPACAMENTO DA MALHA = 10 X 10 CM</v>
          </cell>
          <cell r="Y249" t="str">
            <v>M2</v>
          </cell>
          <cell r="Z249">
            <v>16.829999999999998</v>
          </cell>
          <cell r="AA249">
            <v>0</v>
          </cell>
          <cell r="BC249">
            <v>3713823</v>
          </cell>
          <cell r="BD249" t="str">
            <v xml:space="preserve">Confecção de barreira simples de concreto, armada, pré-moldada (perfil New Jersey) - L &gt; 3,00 m e 810 ≤ H ≥ 1.070 mm </v>
          </cell>
          <cell r="BE249" t="str">
            <v>m</v>
          </cell>
          <cell r="BF249">
            <v>486.88</v>
          </cell>
          <cell r="BG249">
            <v>0</v>
          </cell>
          <cell r="CC249" t="str">
            <v>R4,5-AC</v>
          </cell>
          <cell r="CD249" t="str">
            <v xml:space="preserve"> REFORÇO: (4,5cm) CBUQ C/ POLÍMERO - Aplicado apenas nos acostamentos (não tem pintura e tachas)</v>
          </cell>
          <cell r="CE249">
            <v>0</v>
          </cell>
          <cell r="CF249">
            <v>0</v>
          </cell>
          <cell r="CG249">
            <v>0</v>
          </cell>
          <cell r="CH249">
            <v>0</v>
          </cell>
          <cell r="CI249">
            <v>0</v>
          </cell>
          <cell r="CJ249">
            <v>0</v>
          </cell>
          <cell r="CK249">
            <v>47.871697810194767</v>
          </cell>
          <cell r="CL249">
            <v>0</v>
          </cell>
          <cell r="CM249">
            <v>0</v>
          </cell>
          <cell r="CN249">
            <v>49.326425519114075</v>
          </cell>
        </row>
        <row r="250">
          <cell r="B250">
            <v>4400968</v>
          </cell>
          <cell r="C250" t="str">
            <v>SICRO</v>
          </cell>
          <cell r="D250" t="str">
            <v>Revestimento vegetal com mudas</v>
          </cell>
          <cell r="E250" t="str">
            <v>m²</v>
          </cell>
          <cell r="F250">
            <v>9.6502835199999986</v>
          </cell>
          <cell r="G250">
            <v>9.6502835199999986</v>
          </cell>
          <cell r="H250">
            <v>9.6502835199999986</v>
          </cell>
          <cell r="I250">
            <v>0</v>
          </cell>
          <cell r="J250">
            <v>9.8500164000000012</v>
          </cell>
          <cell r="K250">
            <v>9.8500164000000012</v>
          </cell>
          <cell r="L250">
            <v>9.8500164000000012</v>
          </cell>
          <cell r="W250">
            <v>34492</v>
          </cell>
          <cell r="X250" t="str">
            <v>CONCRETO USINADO BOMBEAVEL, CLASSE DE RESISTENCIA C20, COM BRITA 0 E 1, SLUMP = 100 +/- 20 MM, EXCLUI SERVICO DE BOMBEAMENTO (NBR 8953)</v>
          </cell>
          <cell r="Y250" t="str">
            <v>M3</v>
          </cell>
          <cell r="Z250">
            <v>251.55</v>
          </cell>
          <cell r="AA250">
            <v>0</v>
          </cell>
          <cell r="BC250" t="str">
            <v>E9745</v>
          </cell>
          <cell r="BD250" t="str">
            <v>Trator de pneus com roçadeira a diesel - 77 kW</v>
          </cell>
          <cell r="BE250" t="str">
            <v>h</v>
          </cell>
          <cell r="BF250">
            <v>80.937899999999999</v>
          </cell>
          <cell r="BG250">
            <v>33.402999999999999</v>
          </cell>
          <cell r="CC250" t="str">
            <v>(m²)</v>
          </cell>
          <cell r="CD250" t="str">
            <v>Concreto asfáltico com asfalto polímero - faixa C - areia e brita comerciais</v>
          </cell>
          <cell r="CE250" t="str">
            <v>t</v>
          </cell>
          <cell r="CF250">
            <v>4.5</v>
          </cell>
          <cell r="CG250">
            <v>0.108</v>
          </cell>
          <cell r="CH250">
            <v>1</v>
          </cell>
          <cell r="CI250">
            <v>4011466</v>
          </cell>
          <cell r="CJ250">
            <v>130.81939260452867</v>
          </cell>
          <cell r="CK250">
            <v>18.557777396093226</v>
          </cell>
          <cell r="CL250">
            <v>4011466</v>
          </cell>
          <cell r="CM250">
            <v>135.10461380032868</v>
          </cell>
          <cell r="CN250">
            <v>19.165670304487026</v>
          </cell>
        </row>
        <row r="251">
          <cell r="B251">
            <v>4413905</v>
          </cell>
          <cell r="C251" t="str">
            <v>SICRO</v>
          </cell>
          <cell r="D251" t="str">
            <v>Hidrossemeadura</v>
          </cell>
          <cell r="E251" t="str">
            <v>m²</v>
          </cell>
          <cell r="F251">
            <v>2.9724331393975905</v>
          </cell>
          <cell r="G251">
            <v>2.9724331393975905</v>
          </cell>
          <cell r="H251">
            <v>2.9724331393975905</v>
          </cell>
          <cell r="I251">
            <v>0</v>
          </cell>
          <cell r="J251">
            <v>2.9101998128915665</v>
          </cell>
          <cell r="K251">
            <v>2.9101998128915665</v>
          </cell>
          <cell r="L251">
            <v>2.9101998128915665</v>
          </cell>
          <cell r="W251">
            <v>36365</v>
          </cell>
          <cell r="X251" t="str">
            <v>TUBO COLETOR DE ESGOTO PVC, JEI, DN 100 MM (NBR  7362)</v>
          </cell>
          <cell r="Y251" t="str">
            <v>M</v>
          </cell>
          <cell r="Z251">
            <v>18.510000000000002</v>
          </cell>
          <cell r="AA251">
            <v>0</v>
          </cell>
          <cell r="BC251" t="str">
            <v>E9071</v>
          </cell>
          <cell r="BD251" t="str">
            <v>Transportador manual carrinho de mão com capacidade de 80 l</v>
          </cell>
          <cell r="BE251" t="str">
            <v>h</v>
          </cell>
          <cell r="BF251">
            <v>0.21</v>
          </cell>
          <cell r="BG251">
            <v>0.14269999999999999</v>
          </cell>
          <cell r="CC251">
            <v>0</v>
          </cell>
          <cell r="CD251" t="str">
            <v>Fornecimento de Material Betuminoso c/ polímero SBS</v>
          </cell>
          <cell r="CE251" t="str">
            <v>t</v>
          </cell>
          <cell r="CF251" t="str">
            <v>0,057732 t</v>
          </cell>
          <cell r="CG251">
            <v>6.2350560000000001E-3</v>
          </cell>
          <cell r="CH251">
            <v>1</v>
          </cell>
          <cell r="CI251" t="str">
            <v>CPU10</v>
          </cell>
          <cell r="CJ251">
            <v>4481.4349761078774</v>
          </cell>
          <cell r="CK251">
            <v>27.941998036391279</v>
          </cell>
          <cell r="CL251" t="str">
            <v>CPU10-1</v>
          </cell>
          <cell r="CM251">
            <v>4614.4401264709131</v>
          </cell>
          <cell r="CN251">
            <v>28.771292597193227</v>
          </cell>
        </row>
        <row r="252">
          <cell r="B252">
            <v>4507755</v>
          </cell>
          <cell r="C252" t="str">
            <v>SICRO</v>
          </cell>
          <cell r="D252" t="str">
            <v>Ancoragem ativa para 12 cordoalhas D = 12,7 mm com placa de ancoragem, bloco, cunhas tripartidas, trombeta e protensão</v>
          </cell>
          <cell r="E252" t="str">
            <v>un</v>
          </cell>
          <cell r="F252">
            <v>1454.023539192053</v>
          </cell>
          <cell r="G252">
            <v>1454.023539192053</v>
          </cell>
          <cell r="H252">
            <v>1454.023539192053</v>
          </cell>
          <cell r="I252">
            <v>0</v>
          </cell>
          <cell r="J252">
            <v>1458.9124356490065</v>
          </cell>
          <cell r="K252">
            <v>1458.9124356490065</v>
          </cell>
          <cell r="L252">
            <v>1458.9124356490065</v>
          </cell>
          <cell r="W252">
            <v>88246</v>
          </cell>
          <cell r="X252" t="str">
            <v>ASSENTADOR DE TUBOS COM ENCARGOS COMPLEMENTARES</v>
          </cell>
          <cell r="Y252" t="str">
            <v>H</v>
          </cell>
          <cell r="Z252">
            <v>26.59</v>
          </cell>
          <cell r="AA252">
            <v>0</v>
          </cell>
          <cell r="BC252" t="str">
            <v>M3802</v>
          </cell>
          <cell r="BD252" t="str">
            <v>Animais de pequeno porte mortos em rodovia</v>
          </cell>
          <cell r="BE252" t="str">
            <v>t</v>
          </cell>
          <cell r="BF252">
            <v>0</v>
          </cell>
          <cell r="BG252">
            <v>0</v>
          </cell>
          <cell r="CC252">
            <v>0</v>
          </cell>
          <cell r="CD252" t="str">
            <v>Pintura de ligação</v>
          </cell>
          <cell r="CE252" t="str">
            <v>m²</v>
          </cell>
          <cell r="CF252">
            <v>1</v>
          </cell>
          <cell r="CG252">
            <v>1</v>
          </cell>
          <cell r="CH252">
            <v>1</v>
          </cell>
          <cell r="CI252">
            <v>4011353</v>
          </cell>
          <cell r="CJ252">
            <v>0.18392808219669335</v>
          </cell>
          <cell r="CK252">
            <v>0.24158953596535671</v>
          </cell>
          <cell r="CL252">
            <v>4011353</v>
          </cell>
          <cell r="CM252">
            <v>0.18912484066666665</v>
          </cell>
          <cell r="CN252">
            <v>0.24841547821566662</v>
          </cell>
        </row>
        <row r="253">
          <cell r="B253">
            <v>4507956</v>
          </cell>
          <cell r="C253" t="str">
            <v>SICRO</v>
          </cell>
          <cell r="D253" t="str">
            <v>Cordoalha CP 190 RB D = 12,7 mm - fornecimento, preparo e colocação</v>
          </cell>
          <cell r="E253" t="str">
            <v>kg</v>
          </cell>
          <cell r="F253">
            <v>9.3046610459622112</v>
          </cell>
          <cell r="G253">
            <v>9.3046610459622112</v>
          </cell>
          <cell r="H253">
            <v>9.3046610459622112</v>
          </cell>
          <cell r="I253">
            <v>0</v>
          </cell>
          <cell r="J253">
            <v>9.4013012842357622</v>
          </cell>
          <cell r="K253">
            <v>9.4013012842357622</v>
          </cell>
          <cell r="L253">
            <v>9.4013012842357622</v>
          </cell>
          <cell r="W253">
            <v>20078</v>
          </cell>
          <cell r="X253" t="str">
            <v>PASTA LUBRIFICANTE PARA TUBOS E CONEXOES COM JUNTA ELASTICA (USO EM PVC, ACO, POLIETILENO E OUTROS) ( DE *400* G)</v>
          </cell>
          <cell r="Y253" t="str">
            <v>UN</v>
          </cell>
          <cell r="Z253">
            <v>15.81</v>
          </cell>
          <cell r="AA253">
            <v>0</v>
          </cell>
          <cell r="BC253" t="str">
            <v>E9684</v>
          </cell>
          <cell r="BD253" t="str">
            <v>Veículo leve Pick Up 4 x 4 - 147 kW</v>
          </cell>
          <cell r="BE253" t="str">
            <v>h</v>
          </cell>
          <cell r="BF253">
            <v>118.3079</v>
          </cell>
          <cell r="BG253">
            <v>36.089799999999997</v>
          </cell>
          <cell r="CC253">
            <v>0</v>
          </cell>
          <cell r="CD253" t="str">
            <v>Fornecimento de emulsão RR-1C</v>
          </cell>
          <cell r="CE253" t="str">
            <v>t</v>
          </cell>
          <cell r="CF253" t="str">
            <v>0,00045 t</v>
          </cell>
          <cell r="CG253">
            <v>4.4999999999999999E-4</v>
          </cell>
          <cell r="CH253">
            <v>1</v>
          </cell>
          <cell r="CI253" t="str">
            <v>CPU04</v>
          </cell>
          <cell r="CJ253">
            <v>2511.8507594331254</v>
          </cell>
          <cell r="CK253">
            <v>1.1303328417449063</v>
          </cell>
          <cell r="CL253" t="str">
            <v>CPU04-1</v>
          </cell>
          <cell r="CM253">
            <v>2535.6603093736671</v>
          </cell>
          <cell r="CN253">
            <v>1.1410471392181503</v>
          </cell>
        </row>
        <row r="254">
          <cell r="B254">
            <v>4805750</v>
          </cell>
          <cell r="C254" t="str">
            <v>SICRO</v>
          </cell>
          <cell r="D254" t="str">
            <v>Escavação manual em material de 1ª categoria</v>
          </cell>
          <cell r="E254" t="str">
            <v>m³</v>
          </cell>
          <cell r="F254">
            <v>41.977765059999996</v>
          </cell>
          <cell r="G254">
            <v>41.977765059999996</v>
          </cell>
          <cell r="H254">
            <v>41.977765059999996</v>
          </cell>
          <cell r="I254">
            <v>0</v>
          </cell>
          <cell r="J254">
            <v>43.074748496000005</v>
          </cell>
          <cell r="K254">
            <v>43.074748496000005</v>
          </cell>
          <cell r="L254">
            <v>43.074748496000005</v>
          </cell>
          <cell r="W254">
            <v>9834</v>
          </cell>
          <cell r="X254" t="str">
            <v>TUBO PVC, RIGIDO, CORRUGADO, PERFURADO, DN 150 MM, PARA DRENAGEM, SISTEMA IRRIGACAO</v>
          </cell>
          <cell r="Y254" t="str">
            <v>m</v>
          </cell>
          <cell r="Z254">
            <v>29.59</v>
          </cell>
          <cell r="AA254">
            <v>0</v>
          </cell>
          <cell r="BC254" t="str">
            <v>M3803</v>
          </cell>
          <cell r="BD254" t="str">
            <v>Emborrachados de pneus espalhados em rodovia</v>
          </cell>
          <cell r="BE254" t="str">
            <v>t</v>
          </cell>
          <cell r="BF254">
            <v>0</v>
          </cell>
          <cell r="BG254">
            <v>0</v>
          </cell>
          <cell r="CC254">
            <v>0</v>
          </cell>
          <cell r="CD254" t="str">
            <v>Pintura de faixa - tinta base acrílica - espessura de 0,6 mm</v>
          </cell>
          <cell r="CE254" t="str">
            <v>m²</v>
          </cell>
          <cell r="CF254" t="str">
            <v>não aplicada</v>
          </cell>
          <cell r="CG254">
            <v>0</v>
          </cell>
          <cell r="CH254">
            <v>1</v>
          </cell>
          <cell r="CI254">
            <v>5213401</v>
          </cell>
          <cell r="CJ254">
            <v>20.390807290896916</v>
          </cell>
          <cell r="CK254">
            <v>0</v>
          </cell>
          <cell r="CL254">
            <v>5213401</v>
          </cell>
          <cell r="CM254">
            <v>22.71825438768407</v>
          </cell>
          <cell r="CN254">
            <v>0</v>
          </cell>
        </row>
        <row r="255">
          <cell r="B255">
            <v>4805756</v>
          </cell>
          <cell r="C255" t="str">
            <v>SICRO</v>
          </cell>
          <cell r="D255" t="str">
            <v>Escavação manual reaterro e compactação em material de 1ª categoria</v>
          </cell>
          <cell r="E255" t="str">
            <v>m³</v>
          </cell>
          <cell r="F255">
            <v>47.486574438268157</v>
          </cell>
          <cell r="G255">
            <v>47.486574438268157</v>
          </cell>
          <cell r="H255">
            <v>47.486574438268157</v>
          </cell>
          <cell r="I255">
            <v>0</v>
          </cell>
          <cell r="J255">
            <v>48.821527307262571</v>
          </cell>
          <cell r="K255">
            <v>48.821527307262571</v>
          </cell>
          <cell r="L255">
            <v>48.821527307262571</v>
          </cell>
          <cell r="W255">
            <v>84003</v>
          </cell>
          <cell r="X255" t="str">
            <v>ÁGUA POTÁVEL - FORNECIMENTO EM CAMINHÃO TANQUE CAM. 10.000 L -EMPR. QUE FORN. NO MUNICÍPIO (P/CONSTRUTORA)</v>
          </cell>
          <cell r="Y255" t="str">
            <v>M3</v>
          </cell>
          <cell r="Z255">
            <v>26.07</v>
          </cell>
          <cell r="AA255">
            <v>0</v>
          </cell>
          <cell r="BC255" t="str">
            <v>M2488</v>
          </cell>
          <cell r="BD255" t="str">
            <v>Cinta de elevação tipo Grab com 1 ramal anel, gancho de 3 a 5 m e capacidade de 5.000 kg - segurança 4:1</v>
          </cell>
          <cell r="BE255" t="str">
            <v>un</v>
          </cell>
          <cell r="BF255">
            <v>425.7</v>
          </cell>
          <cell r="BG255">
            <v>0</v>
          </cell>
          <cell r="CC255">
            <v>0</v>
          </cell>
          <cell r="CD255" t="str">
            <v>Tacha refletiva monodirecional - fornecimento e colocação</v>
          </cell>
          <cell r="CE255" t="str">
            <v>un</v>
          </cell>
          <cell r="CF255" t="str">
            <v>não aplicada</v>
          </cell>
          <cell r="CG255">
            <v>0</v>
          </cell>
          <cell r="CH255">
            <v>1</v>
          </cell>
          <cell r="CI255">
            <v>5213359</v>
          </cell>
          <cell r="CJ255">
            <v>12.189996472111552</v>
          </cell>
          <cell r="CK255">
            <v>0</v>
          </cell>
          <cell r="CL255">
            <v>5213359</v>
          </cell>
          <cell r="CM255">
            <v>14.739324009960159</v>
          </cell>
          <cell r="CN255">
            <v>0</v>
          </cell>
        </row>
        <row r="256">
          <cell r="B256">
            <v>4805758</v>
          </cell>
          <cell r="C256" t="str">
            <v>SICRO</v>
          </cell>
          <cell r="D256" t="str">
            <v>Escavação mecânica com reaterro e compactação de vala em material de 1ª categoria</v>
          </cell>
          <cell r="E256" t="str">
            <v>m³</v>
          </cell>
          <cell r="F256">
            <v>8.7554048922623799</v>
          </cell>
          <cell r="G256">
            <v>8.7554048922623799</v>
          </cell>
          <cell r="H256">
            <v>8.7554048922623799</v>
          </cell>
          <cell r="I256">
            <v>0</v>
          </cell>
          <cell r="J256">
            <v>9.0432660412006136</v>
          </cell>
          <cell r="K256">
            <v>9.0432660412006136</v>
          </cell>
          <cell r="L256">
            <v>9.0432660412006136</v>
          </cell>
          <cell r="W256">
            <v>94283</v>
          </cell>
          <cell r="X256" t="str">
            <v>SERRA CIRCULAR PARA CORTE DE CONCRETO ( S/ DISCO ) PROF. 13CM</v>
          </cell>
          <cell r="Y256" t="str">
            <v>H</v>
          </cell>
          <cell r="Z256">
            <v>3.72</v>
          </cell>
          <cell r="AA256">
            <v>0</v>
          </cell>
          <cell r="BC256" t="str">
            <v>M3806</v>
          </cell>
          <cell r="BD256" t="str">
            <v>Sucatas derramadas em rodovia</v>
          </cell>
          <cell r="BE256" t="str">
            <v>t</v>
          </cell>
          <cell r="BF256">
            <v>0</v>
          </cell>
          <cell r="BG256">
            <v>0</v>
          </cell>
          <cell r="CC256">
            <v>0</v>
          </cell>
          <cell r="CD256" t="str">
            <v>Tacha refletiva metálica com dois pinos - bidirecional - fornecimento e colocação</v>
          </cell>
          <cell r="CE256" t="str">
            <v>un</v>
          </cell>
          <cell r="CF256" t="str">
            <v>não aplicada</v>
          </cell>
          <cell r="CG256">
            <v>0</v>
          </cell>
          <cell r="CH256">
            <v>1</v>
          </cell>
          <cell r="CI256">
            <v>5213395</v>
          </cell>
          <cell r="CJ256">
            <v>32.534966247709477</v>
          </cell>
          <cell r="CK256">
            <v>0</v>
          </cell>
          <cell r="CL256">
            <v>5213395</v>
          </cell>
          <cell r="CM256">
            <v>34.530034902548728</v>
          </cell>
          <cell r="CN256">
            <v>0</v>
          </cell>
        </row>
        <row r="257">
          <cell r="B257">
            <v>4805757</v>
          </cell>
          <cell r="C257" t="str">
            <v>SICRO</v>
          </cell>
          <cell r="D257" t="str">
            <v>Escavação mecânica de vala em material de 1ª categoria</v>
          </cell>
          <cell r="E257" t="str">
            <v>m³</v>
          </cell>
          <cell r="F257">
            <v>6.0206905151607959</v>
          </cell>
          <cell r="G257">
            <v>6.0206905151607959</v>
          </cell>
          <cell r="H257">
            <v>6.0206905151607959</v>
          </cell>
          <cell r="I257">
            <v>0</v>
          </cell>
          <cell r="J257">
            <v>6.1435174746299142</v>
          </cell>
          <cell r="K257">
            <v>6.1435174746299142</v>
          </cell>
          <cell r="L257">
            <v>6.1435174746299142</v>
          </cell>
          <cell r="W257">
            <v>95100</v>
          </cell>
          <cell r="X257" t="str">
            <v>SERRA DIAMANTADA P/ CONCRETO/PISO - 450MM - C/ FURO DE 25MM (P/ SER UTILIZADA EM SERRA CIRCULAR C/ 13 CM PROFUNDIDADE)</v>
          </cell>
          <cell r="Y257" t="str">
            <v>Un</v>
          </cell>
          <cell r="Z257">
            <v>659.62</v>
          </cell>
          <cell r="AA257">
            <v>0</v>
          </cell>
          <cell r="BC257" t="str">
            <v>E9697</v>
          </cell>
          <cell r="BD257" t="str">
            <v>Mini-carregadeira de pneus com vassoura de 1,8 m - 42 kW</v>
          </cell>
          <cell r="BE257" t="str">
            <v>h</v>
          </cell>
          <cell r="BF257">
            <v>78.664500000000004</v>
          </cell>
          <cell r="BG257">
            <v>44.923400000000001</v>
          </cell>
          <cell r="CC257" t="str">
            <v>R5-AC</v>
          </cell>
          <cell r="CD257" t="str">
            <v xml:space="preserve"> REFORÇO: (5cm) CBUQ C/ POLÍMERO - Aplicado apenas nos acostamentos (não tem pintura e tachas)</v>
          </cell>
          <cell r="CE257">
            <v>0</v>
          </cell>
          <cell r="CF257">
            <v>0</v>
          </cell>
          <cell r="CG257">
            <v>0</v>
          </cell>
          <cell r="CH257">
            <v>0</v>
          </cell>
          <cell r="CI257">
            <v>0</v>
          </cell>
          <cell r="CJ257">
            <v>0</v>
          </cell>
          <cell r="CK257">
            <v>53.038339524915266</v>
          </cell>
          <cell r="CL257">
            <v>0</v>
          </cell>
          <cell r="CM257">
            <v>0</v>
          </cell>
          <cell r="CN257">
            <v>54.652754730411871</v>
          </cell>
        </row>
        <row r="258">
          <cell r="B258">
            <v>4816118</v>
          </cell>
          <cell r="C258" t="str">
            <v>SICRO</v>
          </cell>
          <cell r="D258" t="str">
            <v>Recomposição de guarda-corpo de concreto - areia e brita comerciais</v>
          </cell>
          <cell r="E258" t="str">
            <v>m</v>
          </cell>
          <cell r="F258">
            <v>70.213400903092378</v>
          </cell>
          <cell r="G258">
            <v>70.213400903092378</v>
          </cell>
          <cell r="H258">
            <v>70.213400903092378</v>
          </cell>
          <cell r="I258">
            <v>0</v>
          </cell>
          <cell r="J258">
            <v>72.865397341646599</v>
          </cell>
          <cell r="K258">
            <v>72.865397341646599</v>
          </cell>
          <cell r="L258">
            <v>72.865397341646599</v>
          </cell>
          <cell r="W258">
            <v>3408</v>
          </cell>
          <cell r="X258" t="str">
            <v>POLIESTIRENO EXPANDIDO/EPS (ISOPOR), TIPO 2F, PLACA, ISOLAMENTO TERMOACUSTICO</v>
          </cell>
          <cell r="Y258" t="str">
            <v>M2</v>
          </cell>
          <cell r="Z258">
            <v>5.8</v>
          </cell>
          <cell r="AA258">
            <v>0</v>
          </cell>
          <cell r="BC258" t="str">
            <v>M3813</v>
          </cell>
          <cell r="BD258" t="str">
            <v>Vidros, caixas e engradados derramados na pista em rodovia</v>
          </cell>
          <cell r="BE258" t="str">
            <v>t</v>
          </cell>
          <cell r="BF258">
            <v>0</v>
          </cell>
          <cell r="BG258">
            <v>0</v>
          </cell>
          <cell r="CC258" t="str">
            <v>(m²)</v>
          </cell>
          <cell r="CD258" t="str">
            <v>Concreto asfáltico com asfalto polímero - faixa C - areia e brita comerciais</v>
          </cell>
          <cell r="CE258" t="str">
            <v>t</v>
          </cell>
          <cell r="CF258">
            <v>5</v>
          </cell>
          <cell r="CG258">
            <v>0.12</v>
          </cell>
          <cell r="CH258">
            <v>1</v>
          </cell>
          <cell r="CI258">
            <v>4011466</v>
          </cell>
          <cell r="CJ258">
            <v>130.81939260452867</v>
          </cell>
          <cell r="CK258">
            <v>20.619752662325809</v>
          </cell>
          <cell r="CL258">
            <v>4011466</v>
          </cell>
          <cell r="CM258">
            <v>135.10461380032868</v>
          </cell>
          <cell r="CN258">
            <v>21.295189227207803</v>
          </cell>
        </row>
        <row r="259">
          <cell r="B259">
            <v>4812520</v>
          </cell>
          <cell r="C259" t="str">
            <v>SICRO</v>
          </cell>
          <cell r="D259" t="str">
            <v>Pintura esmalte 2 demãos em esquadria de ferro ou perfis metálicos com fundo em zarcão</v>
          </cell>
          <cell r="E259" t="str">
            <v>m²</v>
          </cell>
          <cell r="F259">
            <v>23.242594997517653</v>
          </cell>
          <cell r="G259">
            <v>23.242594997517653</v>
          </cell>
          <cell r="H259">
            <v>23.242594997517653</v>
          </cell>
          <cell r="I259">
            <v>0</v>
          </cell>
          <cell r="J259">
            <v>24.166100820130577</v>
          </cell>
          <cell r="K259">
            <v>24.166100820130577</v>
          </cell>
          <cell r="L259">
            <v>24.166100820130577</v>
          </cell>
          <cell r="W259" t="str">
            <v>28.05.09.01</v>
          </cell>
          <cell r="X259" t="str">
            <v xml:space="preserve">FORN.INSTAL.CONJ. TRANSICAO DE DEF.MET. P/ BARREIRA DE CONCRETOC/LAMINA TRIPLA </v>
          </cell>
          <cell r="Y259" t="str">
            <v>CJ</v>
          </cell>
          <cell r="Z259">
            <v>5007.6000000000004</v>
          </cell>
          <cell r="AA259">
            <v>0</v>
          </cell>
          <cell r="BC259" t="str">
            <v>M0069</v>
          </cell>
          <cell r="BD259" t="str">
            <v>Arame farpado galvanizado 16 BWG</v>
          </cell>
          <cell r="BE259" t="str">
            <v>m</v>
          </cell>
          <cell r="BF259">
            <v>0.48830000000000001</v>
          </cell>
          <cell r="BG259">
            <v>0</v>
          </cell>
          <cell r="CC259">
            <v>0</v>
          </cell>
          <cell r="CD259" t="str">
            <v>Fornecimento de Material Betuminoso c/ polímero SBS</v>
          </cell>
          <cell r="CE259" t="str">
            <v>t</v>
          </cell>
          <cell r="CF259" t="str">
            <v>0,057732 t</v>
          </cell>
          <cell r="CG259">
            <v>6.9278399999999993E-3</v>
          </cell>
          <cell r="CH259">
            <v>1</v>
          </cell>
          <cell r="CI259" t="str">
            <v>CPU10</v>
          </cell>
          <cell r="CJ259">
            <v>4481.4349761078774</v>
          </cell>
          <cell r="CK259">
            <v>31.046664484879194</v>
          </cell>
          <cell r="CL259" t="str">
            <v>CPU10-1</v>
          </cell>
          <cell r="CM259">
            <v>4614.4401264709131</v>
          </cell>
          <cell r="CN259">
            <v>31.968102885770247</v>
          </cell>
        </row>
        <row r="260">
          <cell r="B260">
            <v>4816016</v>
          </cell>
          <cell r="C260" t="str">
            <v>SICRO</v>
          </cell>
          <cell r="D260" t="str">
            <v>Rachão ou pedra de mão produzida</v>
          </cell>
          <cell r="E260" t="str">
            <v>m³</v>
          </cell>
          <cell r="F260">
            <v>25.646509952907273</v>
          </cell>
          <cell r="G260">
            <v>25.646509952907273</v>
          </cell>
          <cell r="H260">
            <v>25.646509952907273</v>
          </cell>
          <cell r="I260">
            <v>0</v>
          </cell>
          <cell r="J260">
            <v>25.955235921941817</v>
          </cell>
          <cell r="K260">
            <v>25.955235921941817</v>
          </cell>
          <cell r="L260">
            <v>25.955235921941817</v>
          </cell>
          <cell r="W260" t="str">
            <v>M2768</v>
          </cell>
          <cell r="X260" t="str">
            <v>Aparelho de apoio metálico elastomérico unidirecional com 4 chumbadores e capacidade de 5.500 kN</v>
          </cell>
          <cell r="Y260" t="str">
            <v>Un</v>
          </cell>
          <cell r="Z260">
            <v>32107.0458</v>
          </cell>
          <cell r="AA260">
            <v>0</v>
          </cell>
          <cell r="BC260" t="str">
            <v>M0072</v>
          </cell>
          <cell r="BD260" t="str">
            <v>Arame liso galvanizado 14 BWG</v>
          </cell>
          <cell r="BE260" t="str">
            <v>kg</v>
          </cell>
          <cell r="BF260">
            <v>7.8285999999999998</v>
          </cell>
          <cell r="BG260">
            <v>0</v>
          </cell>
          <cell r="CC260">
            <v>0</v>
          </cell>
          <cell r="CD260" t="str">
            <v>Pintura de ligação</v>
          </cell>
          <cell r="CE260" t="str">
            <v>m²</v>
          </cell>
          <cell r="CF260">
            <v>1</v>
          </cell>
          <cell r="CG260">
            <v>1</v>
          </cell>
          <cell r="CH260">
            <v>1</v>
          </cell>
          <cell r="CI260">
            <v>4011353</v>
          </cell>
          <cell r="CJ260">
            <v>0.18392808219669335</v>
          </cell>
          <cell r="CK260">
            <v>0.24158953596535671</v>
          </cell>
          <cell r="CL260">
            <v>4011353</v>
          </cell>
          <cell r="CM260">
            <v>0.18912484066666665</v>
          </cell>
          <cell r="CN260">
            <v>0.24841547821566662</v>
          </cell>
        </row>
        <row r="261">
          <cell r="B261">
            <v>4816119</v>
          </cell>
          <cell r="C261" t="str">
            <v>SICRO</v>
          </cell>
          <cell r="D261" t="str">
            <v>Selo de argila apiloado (solo local)</v>
          </cell>
          <cell r="E261" t="str">
            <v>m³</v>
          </cell>
          <cell r="F261">
            <v>34.73695</v>
          </cell>
          <cell r="G261">
            <v>34.73695</v>
          </cell>
          <cell r="H261">
            <v>34.73695</v>
          </cell>
          <cell r="I261">
            <v>0</v>
          </cell>
          <cell r="J261">
            <v>35.768680000000003</v>
          </cell>
          <cell r="K261">
            <v>35.768680000000003</v>
          </cell>
          <cell r="L261">
            <v>35.768680000000003</v>
          </cell>
          <cell r="W261" t="str">
            <v>M3087</v>
          </cell>
          <cell r="X261" t="str">
            <v>Anel de compensação angular em chapa de aço ASTM A36</v>
          </cell>
          <cell r="Y261" t="str">
            <v>t</v>
          </cell>
          <cell r="Z261">
            <v>42.247100000000003</v>
          </cell>
          <cell r="AA261">
            <v>0</v>
          </cell>
          <cell r="BC261">
            <v>4816129</v>
          </cell>
          <cell r="BD261" t="str">
            <v xml:space="preserve">Fabricação de mourão de concreto esticador - seção quadrada de 15 cm - areia e brita comerciais </v>
          </cell>
          <cell r="BE261" t="str">
            <v>un</v>
          </cell>
          <cell r="BF261">
            <v>33.46</v>
          </cell>
          <cell r="BG261">
            <v>0</v>
          </cell>
          <cell r="CC261">
            <v>0</v>
          </cell>
          <cell r="CD261" t="str">
            <v>Fornecimento de emulsão RR-1C</v>
          </cell>
          <cell r="CE261" t="str">
            <v>t</v>
          </cell>
          <cell r="CF261" t="str">
            <v>0,00045 t</v>
          </cell>
          <cell r="CG261">
            <v>4.4999999999999999E-4</v>
          </cell>
          <cell r="CH261">
            <v>1</v>
          </cell>
          <cell r="CI261" t="str">
            <v>CPU04</v>
          </cell>
          <cell r="CJ261">
            <v>2511.8507594331254</v>
          </cell>
          <cell r="CK261">
            <v>1.1303328417449063</v>
          </cell>
          <cell r="CL261" t="str">
            <v>CPU04-1</v>
          </cell>
          <cell r="CM261">
            <v>2535.6603093736671</v>
          </cell>
          <cell r="CN261">
            <v>1.1410471392181503</v>
          </cell>
        </row>
        <row r="262">
          <cell r="B262">
            <v>4915723</v>
          </cell>
          <cell r="C262" t="str">
            <v>SICRO</v>
          </cell>
          <cell r="D262" t="str">
            <v>Caiação com fixador de cal</v>
          </cell>
          <cell r="E262" t="str">
            <v>m²</v>
          </cell>
          <cell r="F262">
            <v>2.7620768749999995</v>
          </cell>
          <cell r="G262">
            <v>2.7620768749999995</v>
          </cell>
          <cell r="H262">
            <v>2.7620768749999995</v>
          </cell>
          <cell r="I262">
            <v>0</v>
          </cell>
          <cell r="J262">
            <v>2.8305510250000006</v>
          </cell>
          <cell r="K262">
            <v>2.8305510250000006</v>
          </cell>
          <cell r="L262">
            <v>2.8305510250000006</v>
          </cell>
          <cell r="W262" t="str">
            <v>M2005</v>
          </cell>
          <cell r="X262" t="str">
            <v>Placa de ancoragem para tirante de 250 x 250 x 32 mm</v>
          </cell>
          <cell r="Y262" t="str">
            <v>t</v>
          </cell>
          <cell r="Z262">
            <v>180.0386</v>
          </cell>
          <cell r="AA262">
            <v>0</v>
          </cell>
          <cell r="BC262">
            <v>4816131</v>
          </cell>
          <cell r="BD262" t="str">
            <v xml:space="preserve">Fabricação de mourão de concreto suporte - seção quadrada de 11 cm - areia e brita comerciais </v>
          </cell>
          <cell r="BE262" t="str">
            <v>un</v>
          </cell>
          <cell r="BF262">
            <v>21.14</v>
          </cell>
          <cell r="BG262">
            <v>0</v>
          </cell>
          <cell r="CC262">
            <v>0</v>
          </cell>
          <cell r="CD262" t="str">
            <v>Pintura de faixa - tinta base acrílica - espessura de 0,6 mm</v>
          </cell>
          <cell r="CE262" t="str">
            <v>m²</v>
          </cell>
          <cell r="CF262" t="str">
            <v>não aplicada</v>
          </cell>
          <cell r="CG262">
            <v>0</v>
          </cell>
          <cell r="CH262">
            <v>1</v>
          </cell>
          <cell r="CI262">
            <v>5213401</v>
          </cell>
          <cell r="CJ262">
            <v>20.390807290896916</v>
          </cell>
          <cell r="CK262">
            <v>0</v>
          </cell>
          <cell r="CL262">
            <v>5213401</v>
          </cell>
          <cell r="CM262">
            <v>22.71825438768407</v>
          </cell>
          <cell r="CN262">
            <v>0</v>
          </cell>
        </row>
        <row r="263">
          <cell r="B263">
            <v>4915744</v>
          </cell>
          <cell r="C263" t="str">
            <v>SICRO</v>
          </cell>
          <cell r="D263" t="str">
            <v>Capina manual</v>
          </cell>
          <cell r="E263" t="str">
            <v>m²</v>
          </cell>
          <cell r="F263">
            <v>0.69962941766666664</v>
          </cell>
          <cell r="G263">
            <v>0.69962941766666664</v>
          </cell>
          <cell r="H263">
            <v>0.69962941766666664</v>
          </cell>
          <cell r="I263">
            <v>0</v>
          </cell>
          <cell r="J263">
            <v>0.71791247493333343</v>
          </cell>
          <cell r="K263">
            <v>0.71791247493333343</v>
          </cell>
          <cell r="L263">
            <v>0.71791247493333343</v>
          </cell>
          <cell r="W263" t="str">
            <v>M2031</v>
          </cell>
          <cell r="X263" t="str">
            <v>Porca de ancoragem para tirante de 73 x 100 mm</v>
          </cell>
          <cell r="Y263" t="str">
            <v>t</v>
          </cell>
          <cell r="Z263">
            <v>102.5304</v>
          </cell>
          <cell r="AA263">
            <v>0</v>
          </cell>
          <cell r="BC263" t="str">
            <v>E9592</v>
          </cell>
          <cell r="BD263" t="str">
            <v>Caminhão carroceria com capacidade de 15 t - 188 kW</v>
          </cell>
          <cell r="BE263" t="str">
            <v>h</v>
          </cell>
          <cell r="BF263">
            <v>165.63890000000001</v>
          </cell>
          <cell r="BG263">
            <v>48.816499999999998</v>
          </cell>
          <cell r="CC263">
            <v>0</v>
          </cell>
          <cell r="CD263" t="str">
            <v>Tacha refletiva monodirecional - fornecimento e colocação</v>
          </cell>
          <cell r="CE263" t="str">
            <v>un</v>
          </cell>
          <cell r="CF263" t="str">
            <v>não aplicada</v>
          </cell>
          <cell r="CG263">
            <v>0</v>
          </cell>
          <cell r="CH263">
            <v>1</v>
          </cell>
          <cell r="CI263">
            <v>5213359</v>
          </cell>
          <cell r="CJ263">
            <v>12.189996472111552</v>
          </cell>
          <cell r="CK263">
            <v>0</v>
          </cell>
          <cell r="CL263">
            <v>5213359</v>
          </cell>
          <cell r="CM263">
            <v>14.739324009960159</v>
          </cell>
          <cell r="CN263">
            <v>0</v>
          </cell>
        </row>
        <row r="264">
          <cell r="B264">
            <v>4915711</v>
          </cell>
          <cell r="C264" t="str">
            <v>SICRO</v>
          </cell>
          <cell r="D264" t="str">
            <v>Limpeza de descida d'água</v>
          </cell>
          <cell r="E264" t="str">
            <v>m</v>
          </cell>
          <cell r="F264">
            <v>1.3622333333333332</v>
          </cell>
          <cell r="G264">
            <v>1.3622333333333332</v>
          </cell>
          <cell r="H264">
            <v>1.3622333333333332</v>
          </cell>
          <cell r="I264">
            <v>0</v>
          </cell>
          <cell r="J264">
            <v>1.4026933333333336</v>
          </cell>
          <cell r="K264">
            <v>1.4026933333333336</v>
          </cell>
          <cell r="L264">
            <v>1.4026933333333336</v>
          </cell>
          <cell r="W264" t="str">
            <v>M2468</v>
          </cell>
          <cell r="X264" t="str">
            <v>Bainha metálica - D = 55 mm</v>
          </cell>
          <cell r="Y264" t="str">
            <v>m</v>
          </cell>
          <cell r="Z264">
            <v>20.480699999999999</v>
          </cell>
          <cell r="AA264">
            <v>0</v>
          </cell>
          <cell r="BC264" t="str">
            <v>M0075</v>
          </cell>
          <cell r="BD264" t="str">
            <v>Arame recozido 18 BWG</v>
          </cell>
          <cell r="BE264" t="str">
            <v>kg</v>
          </cell>
          <cell r="BF264">
            <v>4.3076999999999996</v>
          </cell>
          <cell r="BG264">
            <v>0</v>
          </cell>
          <cell r="CC264">
            <v>0</v>
          </cell>
          <cell r="CD264" t="str">
            <v>Tacha refletiva metálica com dois pinos - bidirecional - fornecimento e colocação</v>
          </cell>
          <cell r="CE264" t="str">
            <v>un</v>
          </cell>
          <cell r="CF264" t="str">
            <v>não aplicada</v>
          </cell>
          <cell r="CG264">
            <v>0</v>
          </cell>
          <cell r="CH264">
            <v>1</v>
          </cell>
          <cell r="CI264">
            <v>5213395</v>
          </cell>
          <cell r="CJ264">
            <v>32.534966247709477</v>
          </cell>
          <cell r="CK264">
            <v>0</v>
          </cell>
          <cell r="CL264">
            <v>5213395</v>
          </cell>
          <cell r="CM264">
            <v>34.530034902548728</v>
          </cell>
          <cell r="CN264">
            <v>0</v>
          </cell>
        </row>
        <row r="265">
          <cell r="B265">
            <v>4915718</v>
          </cell>
          <cell r="C265" t="str">
            <v>SICRO</v>
          </cell>
          <cell r="D265" t="str">
            <v>Limpeza de placa de sinalização</v>
          </cell>
          <cell r="E265" t="str">
            <v>m²</v>
          </cell>
          <cell r="F265">
            <v>4.8384236363636361</v>
          </cell>
          <cell r="G265">
            <v>4.8384236363636361</v>
          </cell>
          <cell r="H265">
            <v>4.8384236363636361</v>
          </cell>
          <cell r="I265">
            <v>0</v>
          </cell>
          <cell r="J265">
            <v>7.4577863636363642</v>
          </cell>
          <cell r="K265">
            <v>7.4577863636363642</v>
          </cell>
          <cell r="L265">
            <v>7.4577863636363642</v>
          </cell>
          <cell r="W265" t="str">
            <v>M0424</v>
          </cell>
          <cell r="X265" t="str">
            <v>Cimento Portland CP II - 32</v>
          </cell>
          <cell r="Y265" t="str">
            <v>kg</v>
          </cell>
          <cell r="Z265">
            <v>0.39950000000000002</v>
          </cell>
          <cell r="AA265">
            <v>0</v>
          </cell>
          <cell r="BC265" t="str">
            <v>E9028</v>
          </cell>
          <cell r="BD265" t="str">
            <v>Lavadora profissional - 5,2 kW</v>
          </cell>
          <cell r="BE265" t="str">
            <v>h</v>
          </cell>
          <cell r="BF265">
            <v>25.309699999999999</v>
          </cell>
          <cell r="BG265">
            <v>21.4146</v>
          </cell>
          <cell r="CC265" t="str">
            <v>R6,5-AC</v>
          </cell>
          <cell r="CD265" t="str">
            <v xml:space="preserve"> REFORÇO: (6,5cm) CBUQ C/ POLÍMERO - Aplicado apenas nos acostamentos (não tem pintura e tachas)</v>
          </cell>
          <cell r="CE265">
            <v>0</v>
          </cell>
          <cell r="CF265">
            <v>0</v>
          </cell>
          <cell r="CG265">
            <v>0</v>
          </cell>
          <cell r="CH265">
            <v>0</v>
          </cell>
          <cell r="CI265">
            <v>0</v>
          </cell>
          <cell r="CJ265">
            <v>0</v>
          </cell>
          <cell r="CK265">
            <v>68.538264669076767</v>
          </cell>
          <cell r="CL265">
            <v>0</v>
          </cell>
          <cell r="CM265">
            <v>0</v>
          </cell>
          <cell r="CN265">
            <v>70.631742364305282</v>
          </cell>
        </row>
        <row r="266">
          <cell r="B266">
            <v>4915672</v>
          </cell>
          <cell r="C266" t="str">
            <v>SICRO</v>
          </cell>
          <cell r="D266" t="str">
            <v>Limpeza de ponte</v>
          </cell>
          <cell r="E266" t="str">
            <v>m</v>
          </cell>
          <cell r="F266">
            <v>4.0866999999999996</v>
          </cell>
          <cell r="G266">
            <v>4.0866999999999996</v>
          </cell>
          <cell r="H266">
            <v>4.0866999999999996</v>
          </cell>
          <cell r="I266">
            <v>0</v>
          </cell>
          <cell r="J266">
            <v>4.2080800000000007</v>
          </cell>
          <cell r="K266">
            <v>4.2080800000000007</v>
          </cell>
          <cell r="L266">
            <v>4.2080800000000007</v>
          </cell>
          <cell r="W266" t="str">
            <v>M1959</v>
          </cell>
          <cell r="X266" t="str">
            <v>Espaçador para tirante de barra de aço - D = 53 mm</v>
          </cell>
          <cell r="Y266" t="str">
            <v>und</v>
          </cell>
          <cell r="Z266">
            <v>6.1216999999999997</v>
          </cell>
          <cell r="AA266">
            <v>0</v>
          </cell>
          <cell r="BC266">
            <v>3806411</v>
          </cell>
          <cell r="BD266" t="str">
            <v xml:space="preserve">Plataforma mecanizada de inspeção sob pontes com capacidade de 600 kg e comprimento da plataforma sob a ponte de 14 m </v>
          </cell>
          <cell r="BE266" t="str">
            <v>h</v>
          </cell>
          <cell r="BF266">
            <v>335.67</v>
          </cell>
          <cell r="BG266">
            <v>0</v>
          </cell>
          <cell r="CC266" t="str">
            <v>(m²)</v>
          </cell>
          <cell r="CD266" t="str">
            <v>Concreto asfáltico com asfalto polímero - faixa C - areia e brita comerciais</v>
          </cell>
          <cell r="CE266" t="str">
            <v>t</v>
          </cell>
          <cell r="CF266">
            <v>6.5</v>
          </cell>
          <cell r="CG266">
            <v>0.156</v>
          </cell>
          <cell r="CH266">
            <v>1</v>
          </cell>
          <cell r="CI266">
            <v>4011466</v>
          </cell>
          <cell r="CJ266">
            <v>130.81939260452867</v>
          </cell>
          <cell r="CK266">
            <v>26.80567846102355</v>
          </cell>
          <cell r="CL266">
            <v>4011466</v>
          </cell>
          <cell r="CM266">
            <v>135.10461380032868</v>
          </cell>
          <cell r="CN266">
            <v>27.683745995370145</v>
          </cell>
        </row>
        <row r="267">
          <cell r="B267">
            <v>4915708</v>
          </cell>
          <cell r="C267" t="str">
            <v>SICRO</v>
          </cell>
          <cell r="D267" t="str">
            <v>Limpeza de sarjeta e meio-fio</v>
          </cell>
          <cell r="E267" t="str">
            <v>m</v>
          </cell>
          <cell r="F267">
            <v>0.68111666666666659</v>
          </cell>
          <cell r="G267">
            <v>0.68111666666666659</v>
          </cell>
          <cell r="H267">
            <v>0.68111666666666659</v>
          </cell>
          <cell r="I267">
            <v>0</v>
          </cell>
          <cell r="J267">
            <v>0.70134666666666678</v>
          </cell>
          <cell r="K267">
            <v>0.70134666666666678</v>
          </cell>
          <cell r="L267">
            <v>0.70134666666666678</v>
          </cell>
          <cell r="W267" t="str">
            <v>M1985</v>
          </cell>
          <cell r="X267" t="str">
            <v>Luva de emenda para tirantes - D = 73 x 200 mm</v>
          </cell>
          <cell r="Y267" t="str">
            <v>und</v>
          </cell>
          <cell r="Z267">
            <v>98.044300000000007</v>
          </cell>
          <cell r="AA267">
            <v>0</v>
          </cell>
          <cell r="BC267" t="str">
            <v>E9011</v>
          </cell>
          <cell r="BD267" t="str">
            <v>Carro manual modelo plataforma de 200 x 80 cm com capacidade de 800 kg</v>
          </cell>
          <cell r="BE267" t="str">
            <v>h</v>
          </cell>
          <cell r="BF267">
            <v>0.32250000000000001</v>
          </cell>
          <cell r="BG267">
            <v>0.22040000000000001</v>
          </cell>
          <cell r="CC267">
            <v>0</v>
          </cell>
          <cell r="CD267" t="str">
            <v>Fornecimento de Material Betuminoso c/ polímero SBS</v>
          </cell>
          <cell r="CE267" t="str">
            <v>t</v>
          </cell>
          <cell r="CF267" t="str">
            <v>0,057732 t</v>
          </cell>
          <cell r="CG267">
            <v>9.0061919999999997E-3</v>
          </cell>
          <cell r="CH267">
            <v>1</v>
          </cell>
          <cell r="CI267" t="str">
            <v>CPU10</v>
          </cell>
          <cell r="CJ267">
            <v>4481.4349761078774</v>
          </cell>
          <cell r="CK267">
            <v>40.360663830342958</v>
          </cell>
          <cell r="CL267" t="str">
            <v>CPU10-1</v>
          </cell>
          <cell r="CM267">
            <v>4614.4401264709131</v>
          </cell>
          <cell r="CN267">
            <v>41.558533751501322</v>
          </cell>
        </row>
        <row r="268">
          <cell r="B268">
            <v>4915686</v>
          </cell>
          <cell r="C268" t="str">
            <v>SICRO</v>
          </cell>
          <cell r="D268" t="str">
            <v>Limpeza e desobstrução de dispositivos de drenagem em OAE</v>
          </cell>
          <cell r="E268" t="str">
            <v>un</v>
          </cell>
          <cell r="F268">
            <v>4.0866999999999996</v>
          </cell>
          <cell r="G268">
            <v>4.0866999999999996</v>
          </cell>
          <cell r="H268">
            <v>4.0866999999999996</v>
          </cell>
          <cell r="I268">
            <v>0</v>
          </cell>
          <cell r="J268">
            <v>4.2080800000000007</v>
          </cell>
          <cell r="K268">
            <v>4.2080800000000007</v>
          </cell>
          <cell r="L268">
            <v>4.2080800000000007</v>
          </cell>
          <cell r="W268" t="str">
            <v>M2058</v>
          </cell>
          <cell r="X268" t="str">
            <v>Tirante monobarra de aço - D = 53 mm INCO 60D</v>
          </cell>
          <cell r="Y268" t="str">
            <v>m</v>
          </cell>
          <cell r="Z268">
            <v>159.7467</v>
          </cell>
          <cell r="AA268">
            <v>0</v>
          </cell>
          <cell r="BC268" t="str">
            <v>E9668</v>
          </cell>
          <cell r="BD268" t="str">
            <v>Fábrica de pré-moldado de concreto para guarda corpo - 2,2 kW</v>
          </cell>
          <cell r="BE268" t="str">
            <v>h</v>
          </cell>
          <cell r="BF268">
            <v>2.7345999999999999</v>
          </cell>
          <cell r="BG268">
            <v>1.6960999999999999</v>
          </cell>
          <cell r="CC268">
            <v>0</v>
          </cell>
          <cell r="CD268" t="str">
            <v>Pintura de ligação</v>
          </cell>
          <cell r="CE268" t="str">
            <v>m²</v>
          </cell>
          <cell r="CF268">
            <v>1</v>
          </cell>
          <cell r="CG268">
            <v>1</v>
          </cell>
          <cell r="CH268">
            <v>1</v>
          </cell>
          <cell r="CI268">
            <v>4011353</v>
          </cell>
          <cell r="CJ268">
            <v>0.18392808219669335</v>
          </cell>
          <cell r="CK268">
            <v>0.24158953596535671</v>
          </cell>
          <cell r="CL268">
            <v>4011353</v>
          </cell>
          <cell r="CM268">
            <v>0.18912484066666665</v>
          </cell>
          <cell r="CN268">
            <v>0.24841547821566662</v>
          </cell>
        </row>
        <row r="269">
          <cell r="B269">
            <v>4915671</v>
          </cell>
          <cell r="C269" t="str">
            <v>SICRO</v>
          </cell>
          <cell r="D269" t="str">
            <v>Reaterro e compactação com soquete vibratório</v>
          </cell>
          <cell r="E269" t="str">
            <v>m³</v>
          </cell>
          <cell r="F269">
            <v>15.992206405693949</v>
          </cell>
          <cell r="G269">
            <v>15.992206405693949</v>
          </cell>
          <cell r="H269">
            <v>15.992206405693949</v>
          </cell>
          <cell r="I269">
            <v>0</v>
          </cell>
          <cell r="J269">
            <v>16.701209964412815</v>
          </cell>
          <cell r="K269">
            <v>16.701209964412815</v>
          </cell>
          <cell r="L269">
            <v>16.701209964412815</v>
          </cell>
          <cell r="W269" t="str">
            <v>M1912</v>
          </cell>
          <cell r="X269" t="str">
            <v>Tubo PE 80 PN8 - D = 63 mm</v>
          </cell>
          <cell r="Y269" t="str">
            <v>m</v>
          </cell>
          <cell r="Z269">
            <v>16.9604</v>
          </cell>
          <cell r="AA269">
            <v>0</v>
          </cell>
          <cell r="BC269" t="str">
            <v>P9805</v>
          </cell>
          <cell r="BD269" t="str">
            <v>Armador</v>
          </cell>
          <cell r="BE269" t="str">
            <v>h</v>
          </cell>
          <cell r="BF269">
            <v>24.6601</v>
          </cell>
          <cell r="BG269">
            <v>0</v>
          </cell>
          <cell r="CC269">
            <v>0</v>
          </cell>
          <cell r="CD269" t="str">
            <v>Fornecimento de emulsão RR-1C</v>
          </cell>
          <cell r="CE269" t="str">
            <v>t</v>
          </cell>
          <cell r="CF269" t="str">
            <v>0,00045 t</v>
          </cell>
          <cell r="CG269">
            <v>4.4999999999999999E-4</v>
          </cell>
          <cell r="CH269">
            <v>1</v>
          </cell>
          <cell r="CI269" t="str">
            <v>CPU04</v>
          </cell>
          <cell r="CJ269">
            <v>2511.8507594331254</v>
          </cell>
          <cell r="CK269">
            <v>1.1303328417449063</v>
          </cell>
          <cell r="CL269" t="str">
            <v>CPU04-1</v>
          </cell>
          <cell r="CM269">
            <v>2535.6603093736671</v>
          </cell>
          <cell r="CN269">
            <v>1.1410471392181503</v>
          </cell>
        </row>
        <row r="270">
          <cell r="B270">
            <v>4915721</v>
          </cell>
          <cell r="C270" t="str">
            <v>SICRO</v>
          </cell>
          <cell r="D270" t="str">
            <v>Recomposição de defensa metálica simples</v>
          </cell>
          <cell r="E270" t="str">
            <v>m</v>
          </cell>
          <cell r="F270">
            <v>220.00333351111109</v>
          </cell>
          <cell r="G270">
            <v>220.00333351111109</v>
          </cell>
          <cell r="H270">
            <v>220.00333351111109</v>
          </cell>
          <cell r="I270">
            <v>0</v>
          </cell>
          <cell r="J270">
            <v>220.16940717037036</v>
          </cell>
          <cell r="K270">
            <v>220.16940717037036</v>
          </cell>
          <cell r="L270">
            <v>220.16940717037036</v>
          </cell>
          <cell r="W270">
            <v>5605942</v>
          </cell>
          <cell r="X270" t="str">
            <v>Pintura eletrostática epóxi pó com espessura de 200 μm</v>
          </cell>
          <cell r="Y270" t="str">
            <v>m²</v>
          </cell>
          <cell r="Z270">
            <v>15.75</v>
          </cell>
          <cell r="AA270">
            <v>0</v>
          </cell>
          <cell r="BC270" t="str">
            <v>M0345</v>
          </cell>
          <cell r="BD270" t="str">
            <v>Cal hidratada</v>
          </cell>
          <cell r="BE270" t="str">
            <v>kg</v>
          </cell>
          <cell r="BF270">
            <v>0.44800000000000001</v>
          </cell>
          <cell r="BG270">
            <v>0</v>
          </cell>
          <cell r="CC270">
            <v>0</v>
          </cell>
          <cell r="CD270" t="str">
            <v>Pintura de faixa - tinta base acrílica - espessura de 0,6 mm</v>
          </cell>
          <cell r="CE270" t="str">
            <v>m²</v>
          </cell>
          <cell r="CF270" t="str">
            <v>não aplicada</v>
          </cell>
          <cell r="CG270">
            <v>0</v>
          </cell>
          <cell r="CH270">
            <v>1</v>
          </cell>
          <cell r="CI270">
            <v>5213401</v>
          </cell>
          <cell r="CJ270">
            <v>20.390807290896916</v>
          </cell>
          <cell r="CK270">
            <v>0</v>
          </cell>
          <cell r="CL270">
            <v>5213401</v>
          </cell>
          <cell r="CM270">
            <v>22.71825438768407</v>
          </cell>
          <cell r="CN270">
            <v>0</v>
          </cell>
        </row>
        <row r="271">
          <cell r="B271">
            <v>4915719</v>
          </cell>
          <cell r="C271" t="str">
            <v>SICRO</v>
          </cell>
          <cell r="D271" t="str">
            <v>Recomposição de placa de sinalização</v>
          </cell>
          <cell r="E271" t="str">
            <v>m²</v>
          </cell>
          <cell r="F271">
            <v>27.975642857142855</v>
          </cell>
          <cell r="G271">
            <v>27.975642857142855</v>
          </cell>
          <cell r="H271">
            <v>27.975642857142855</v>
          </cell>
          <cell r="I271">
            <v>0</v>
          </cell>
          <cell r="J271">
            <v>28.362464285714289</v>
          </cell>
          <cell r="K271">
            <v>28.362464285714289</v>
          </cell>
          <cell r="L271">
            <v>28.362464285714289</v>
          </cell>
          <cell r="W271">
            <v>4816106</v>
          </cell>
          <cell r="X271" t="str">
            <v>Confecção de tubos de concreto perfurado D = 0,20 m - areia e brita comerciais</v>
          </cell>
          <cell r="Y271" t="str">
            <v>m</v>
          </cell>
          <cell r="Z271">
            <v>22.9</v>
          </cell>
          <cell r="AA271">
            <v>0</v>
          </cell>
          <cell r="BC271" t="str">
            <v>M0729</v>
          </cell>
          <cell r="BD271" t="str">
            <v>Fixa cal tipo Globo Fix ou similar</v>
          </cell>
          <cell r="BE271" t="str">
            <v>l</v>
          </cell>
          <cell r="BF271">
            <v>4.6669</v>
          </cell>
          <cell r="BG271">
            <v>0</v>
          </cell>
          <cell r="CC271">
            <v>0</v>
          </cell>
          <cell r="CD271" t="str">
            <v>Tacha refletiva monodirecional - fornecimento e colocação</v>
          </cell>
          <cell r="CE271" t="str">
            <v>un</v>
          </cell>
          <cell r="CF271" t="str">
            <v>não aplicada</v>
          </cell>
          <cell r="CG271">
            <v>0</v>
          </cell>
          <cell r="CH271">
            <v>1</v>
          </cell>
          <cell r="CI271">
            <v>5213359</v>
          </cell>
          <cell r="CJ271">
            <v>12.189996472111552</v>
          </cell>
          <cell r="CK271">
            <v>0</v>
          </cell>
          <cell r="CL271">
            <v>5213359</v>
          </cell>
          <cell r="CM271">
            <v>14.739324009960159</v>
          </cell>
          <cell r="CN271">
            <v>0</v>
          </cell>
        </row>
        <row r="272">
          <cell r="B272">
            <v>4915593</v>
          </cell>
          <cell r="C272" t="str">
            <v>SICRO</v>
          </cell>
          <cell r="D272" t="str">
            <v>Recomposição total de cerca com mourão de concreto seção quadrada - areia e brita comerciais</v>
          </cell>
          <cell r="E272" t="str">
            <v>m</v>
          </cell>
          <cell r="F272">
            <v>20.526203279999997</v>
          </cell>
          <cell r="G272">
            <v>20.526203279999997</v>
          </cell>
          <cell r="H272">
            <v>20.526203279999997</v>
          </cell>
          <cell r="I272">
            <v>0</v>
          </cell>
          <cell r="J272">
            <v>20.8853382</v>
          </cell>
          <cell r="K272">
            <v>20.8853382</v>
          </cell>
          <cell r="L272">
            <v>20.8853382</v>
          </cell>
          <cell r="W272" t="str">
            <v>M0682</v>
          </cell>
          <cell r="X272" t="str">
            <v>Aço em perfis ASTM A36</v>
          </cell>
          <cell r="Y272" t="str">
            <v>kg</v>
          </cell>
          <cell r="Z272">
            <v>4.38</v>
          </cell>
          <cell r="AA272">
            <v>0</v>
          </cell>
          <cell r="BC272" t="str">
            <v>M1976</v>
          </cell>
          <cell r="BD272" t="str">
            <v>Terminal aéreo de defensa metálica (tipo A - NBR 6.971)</v>
          </cell>
          <cell r="BE272" t="str">
            <v>un</v>
          </cell>
          <cell r="BF272">
            <v>213</v>
          </cell>
          <cell r="BG272">
            <v>0</v>
          </cell>
          <cell r="CC272">
            <v>0</v>
          </cell>
          <cell r="CD272" t="str">
            <v>Tacha refletiva metálica com dois pinos - bidirecional - fornecimento e colocação</v>
          </cell>
          <cell r="CE272" t="str">
            <v>un</v>
          </cell>
          <cell r="CF272" t="str">
            <v>não aplicada</v>
          </cell>
          <cell r="CG272">
            <v>0</v>
          </cell>
          <cell r="CH272">
            <v>1</v>
          </cell>
          <cell r="CI272">
            <v>5213395</v>
          </cell>
          <cell r="CJ272">
            <v>32.534966247709477</v>
          </cell>
          <cell r="CK272">
            <v>0</v>
          </cell>
          <cell r="CL272">
            <v>5213395</v>
          </cell>
          <cell r="CM272">
            <v>34.530034902548728</v>
          </cell>
          <cell r="CN272">
            <v>0</v>
          </cell>
        </row>
        <row r="273">
          <cell r="B273">
            <v>4915748</v>
          </cell>
          <cell r="C273" t="str">
            <v>SICRO</v>
          </cell>
          <cell r="D273" t="str">
            <v>Recuperação de desgaste superficial em pavimentos de concreto</v>
          </cell>
          <cell r="E273" t="str">
            <v>m²</v>
          </cell>
          <cell r="F273">
            <v>42.897076635666672</v>
          </cell>
          <cell r="G273">
            <v>42.897076635666672</v>
          </cell>
          <cell r="H273">
            <v>42.897076635666672</v>
          </cell>
          <cell r="I273">
            <v>0</v>
          </cell>
          <cell r="J273">
            <v>42.159913151333335</v>
          </cell>
          <cell r="K273">
            <v>42.159913151333335</v>
          </cell>
          <cell r="L273">
            <v>42.159913151333335</v>
          </cell>
          <cell r="W273">
            <v>1408173</v>
          </cell>
          <cell r="X273" t="str">
            <v>Corte com maçarico oxiacetileno de perfis metálicos</v>
          </cell>
          <cell r="Y273" t="str">
            <v>cm²</v>
          </cell>
          <cell r="Z273">
            <v>0.57999999999999996</v>
          </cell>
          <cell r="AA273">
            <v>0</v>
          </cell>
          <cell r="BC273" t="str">
            <v>M0048</v>
          </cell>
          <cell r="BD273" t="str">
            <v>Balizador cônico refletivo em polietileno semi flexível de 114 x 11 x 40 cm</v>
          </cell>
          <cell r="BE273" t="str">
            <v>un</v>
          </cell>
          <cell r="BF273">
            <v>115.345</v>
          </cell>
          <cell r="BG273">
            <v>0</v>
          </cell>
          <cell r="CC273" t="str">
            <v>R3</v>
          </cell>
          <cell r="CD273" t="str">
            <v xml:space="preserve"> REFORÇO: (3cm) CBUQ C/ POLÍMERO </v>
          </cell>
          <cell r="CE273">
            <v>0</v>
          </cell>
          <cell r="CF273">
            <v>0</v>
          </cell>
          <cell r="CG273">
            <v>0</v>
          </cell>
          <cell r="CH273">
            <v>0</v>
          </cell>
          <cell r="CI273">
            <v>0</v>
          </cell>
          <cell r="CJ273">
            <v>0</v>
          </cell>
          <cell r="CK273">
            <v>33.958481826347985</v>
          </cell>
          <cell r="CL273">
            <v>0</v>
          </cell>
          <cell r="CM273">
            <v>0</v>
          </cell>
          <cell r="CN273">
            <v>35.151818480054757</v>
          </cell>
        </row>
        <row r="274">
          <cell r="B274">
            <v>4915786</v>
          </cell>
          <cell r="C274" t="str">
            <v>SICRO</v>
          </cell>
          <cell r="D274" t="str">
            <v>Remoção de animais de pequeno porte mortos em rodovia - carga manual</v>
          </cell>
          <cell r="E274" t="str">
            <v>t</v>
          </cell>
          <cell r="F274">
            <v>140.22325390865024</v>
          </cell>
          <cell r="G274">
            <v>140.22325390865024</v>
          </cell>
          <cell r="H274">
            <v>140.22325390865024</v>
          </cell>
          <cell r="I274">
            <v>0</v>
          </cell>
          <cell r="J274">
            <v>144.398511640609</v>
          </cell>
          <cell r="K274">
            <v>144.398511640609</v>
          </cell>
          <cell r="L274">
            <v>144.398511640609</v>
          </cell>
          <cell r="W274">
            <v>546</v>
          </cell>
          <cell r="X274" t="str">
            <v>BARRA DE FERRO RETANGULAR, BARRA CHATA (QUALQUER DIMENSAO)</v>
          </cell>
          <cell r="Y274" t="str">
            <v>KG</v>
          </cell>
          <cell r="Z274">
            <v>5.6</v>
          </cell>
          <cell r="AA274">
            <v>0</v>
          </cell>
          <cell r="BC274" t="str">
            <v>M1966</v>
          </cell>
          <cell r="BD274" t="str">
            <v>Defensa metálica maleável simples</v>
          </cell>
          <cell r="BE274" t="str">
            <v>un</v>
          </cell>
          <cell r="BF274">
            <v>1268</v>
          </cell>
          <cell r="BG274">
            <v>0</v>
          </cell>
          <cell r="CC274" t="str">
            <v>(m²)</v>
          </cell>
          <cell r="CD274" t="str">
            <v>Concreto asfáltico com asfalto polímero - faixa C - areia e brita comerciais</v>
          </cell>
          <cell r="CE274" t="str">
            <v>t</v>
          </cell>
          <cell r="CF274">
            <v>3</v>
          </cell>
          <cell r="CG274">
            <v>7.1999999999999995E-2</v>
          </cell>
          <cell r="CH274">
            <v>1</v>
          </cell>
          <cell r="CI274">
            <v>4011466</v>
          </cell>
          <cell r="CJ274">
            <v>130.81939260452867</v>
          </cell>
          <cell r="CK274">
            <v>12.371851597395484</v>
          </cell>
          <cell r="CL274">
            <v>4011466</v>
          </cell>
          <cell r="CM274">
            <v>135.10461380032868</v>
          </cell>
          <cell r="CN274">
            <v>12.777113536324682</v>
          </cell>
        </row>
        <row r="275">
          <cell r="B275">
            <v>4915795</v>
          </cell>
          <cell r="C275" t="str">
            <v>SICRO</v>
          </cell>
          <cell r="D275" t="str">
            <v>Remoção de emborrachados de pneus em rodovia</v>
          </cell>
          <cell r="E275" t="str">
            <v>t</v>
          </cell>
          <cell r="F275">
            <v>243.94129032258061</v>
          </cell>
          <cell r="G275">
            <v>243.94129032258061</v>
          </cell>
          <cell r="H275">
            <v>243.94129032258061</v>
          </cell>
          <cell r="I275">
            <v>0</v>
          </cell>
          <cell r="J275">
            <v>246.29499999999999</v>
          </cell>
          <cell r="K275">
            <v>246.29499999999999</v>
          </cell>
          <cell r="L275">
            <v>246.29499999999999</v>
          </cell>
          <cell r="W275" t="str">
            <v>A9317</v>
          </cell>
          <cell r="X275" t="str">
            <v>Caminhão plataforma 8 x 2, PBT 29.000 kg e distância entre eixos 4,8 m - 188 kW - Motorista de veículo especial</v>
          </cell>
          <cell r="Y275" t="str">
            <v>h</v>
          </cell>
          <cell r="Z275">
            <v>167.14189999999999</v>
          </cell>
          <cell r="AA275">
            <v>50.622</v>
          </cell>
          <cell r="BC275" t="str">
            <v>M1971</v>
          </cell>
          <cell r="BD275" t="str">
            <v>Módulo de transição de defensa metálica para barreira New Jersey</v>
          </cell>
          <cell r="BE275" t="str">
            <v>un</v>
          </cell>
          <cell r="BF275">
            <v>4480</v>
          </cell>
          <cell r="BG275">
            <v>0</v>
          </cell>
          <cell r="CC275">
            <v>0</v>
          </cell>
          <cell r="CD275" t="str">
            <v>Fornecimento de Material Betuminoso c/ polímero SBS</v>
          </cell>
          <cell r="CE275" t="str">
            <v>t</v>
          </cell>
          <cell r="CF275" t="str">
            <v>0,057732 t</v>
          </cell>
          <cell r="CG275">
            <v>4.1567039999999998E-3</v>
          </cell>
          <cell r="CH275">
            <v>1</v>
          </cell>
          <cell r="CI275" t="str">
            <v>CPU10</v>
          </cell>
          <cell r="CJ275">
            <v>4481.4349761078774</v>
          </cell>
          <cell r="CK275">
            <v>18.627998690927516</v>
          </cell>
          <cell r="CL275" t="str">
            <v>CPU10-1</v>
          </cell>
          <cell r="CM275">
            <v>4614.4401264709131</v>
          </cell>
          <cell r="CN275">
            <v>19.180861731462148</v>
          </cell>
        </row>
        <row r="276">
          <cell r="B276">
            <v>4915794</v>
          </cell>
          <cell r="C276" t="str">
            <v>SICRO</v>
          </cell>
          <cell r="D276" t="str">
            <v>Remoção de sucatas derramadas em rodovia</v>
          </cell>
          <cell r="E276" t="str">
            <v>t</v>
          </cell>
          <cell r="F276">
            <v>395.59915662650599</v>
          </cell>
          <cell r="G276">
            <v>395.59915662650599</v>
          </cell>
          <cell r="H276">
            <v>395.59915662650599</v>
          </cell>
          <cell r="I276">
            <v>0</v>
          </cell>
          <cell r="J276">
            <v>408.16445783132531</v>
          </cell>
          <cell r="K276">
            <v>408.16445783132531</v>
          </cell>
          <cell r="L276">
            <v>408.16445783132531</v>
          </cell>
          <cell r="W276" t="str">
            <v>M2023</v>
          </cell>
          <cell r="X276" t="str">
            <v>Espoleta comum NR 8</v>
          </cell>
          <cell r="Y276" t="str">
            <v>und</v>
          </cell>
          <cell r="Z276">
            <v>2.5489000000000002</v>
          </cell>
          <cell r="AA276">
            <v>0</v>
          </cell>
          <cell r="BC276" t="str">
            <v>M2036</v>
          </cell>
          <cell r="BD276" t="str">
            <v>Tinta à base de resina acrílica emulsão em água</v>
          </cell>
          <cell r="BE276" t="str">
            <v>l</v>
          </cell>
          <cell r="BF276">
            <v>17.843900000000001</v>
          </cell>
          <cell r="BG276">
            <v>0</v>
          </cell>
          <cell r="CC276">
            <v>0</v>
          </cell>
          <cell r="CD276" t="str">
            <v>Pintura de ligação</v>
          </cell>
          <cell r="CE276" t="str">
            <v>m²</v>
          </cell>
          <cell r="CF276">
            <v>1</v>
          </cell>
          <cell r="CG276">
            <v>1</v>
          </cell>
          <cell r="CH276">
            <v>1</v>
          </cell>
          <cell r="CI276">
            <v>4011353</v>
          </cell>
          <cell r="CJ276">
            <v>0.18392808219669335</v>
          </cell>
          <cell r="CK276">
            <v>0.24158953596535671</v>
          </cell>
          <cell r="CL276">
            <v>4011353</v>
          </cell>
          <cell r="CM276">
            <v>0.18912484066666665</v>
          </cell>
          <cell r="CN276">
            <v>0.24841547821566662</v>
          </cell>
        </row>
        <row r="277">
          <cell r="B277">
            <v>4915699</v>
          </cell>
          <cell r="C277" t="str">
            <v>SICRO</v>
          </cell>
          <cell r="D277" t="str">
            <v>Remoção de vidros, caixas e engradados derramados na pista em rodovia</v>
          </cell>
          <cell r="E277" t="str">
            <v>t</v>
          </cell>
          <cell r="F277">
            <v>30.4765625</v>
          </cell>
          <cell r="G277">
            <v>30.4765625</v>
          </cell>
          <cell r="H277">
            <v>30.4765625</v>
          </cell>
          <cell r="I277">
            <v>0</v>
          </cell>
          <cell r="J277">
            <v>31.372700000000002</v>
          </cell>
          <cell r="K277">
            <v>31.372700000000002</v>
          </cell>
          <cell r="L277">
            <v>31.372700000000002</v>
          </cell>
          <cell r="W277" t="str">
            <v>M2026</v>
          </cell>
          <cell r="X277" t="str">
            <v>Estopim</v>
          </cell>
          <cell r="Y277" t="str">
            <v>m</v>
          </cell>
          <cell r="Z277">
            <v>2.2301000000000002</v>
          </cell>
          <cell r="AA277">
            <v>0</v>
          </cell>
          <cell r="BC277" t="str">
            <v>M1349</v>
          </cell>
          <cell r="BD277" t="str">
            <v>Tacha refletiva metálica monodirecional com dois pinos</v>
          </cell>
          <cell r="BE277" t="str">
            <v>un</v>
          </cell>
          <cell r="BF277">
            <v>15</v>
          </cell>
          <cell r="BG277">
            <v>0</v>
          </cell>
          <cell r="CC277">
            <v>0</v>
          </cell>
          <cell r="CD277" t="str">
            <v>Fornecimento de emulsão RR-1C</v>
          </cell>
          <cell r="CE277" t="str">
            <v>t</v>
          </cell>
          <cell r="CF277" t="str">
            <v>0,00045 t</v>
          </cell>
          <cell r="CG277">
            <v>4.4999999999999999E-4</v>
          </cell>
          <cell r="CH277">
            <v>1</v>
          </cell>
          <cell r="CI277" t="str">
            <v>CPU04</v>
          </cell>
          <cell r="CJ277">
            <v>2511.8507594331254</v>
          </cell>
          <cell r="CK277">
            <v>1.1303328417449063</v>
          </cell>
          <cell r="CL277" t="str">
            <v>CPU04-1</v>
          </cell>
          <cell r="CM277">
            <v>2535.6603093736671</v>
          </cell>
          <cell r="CN277">
            <v>1.1410471392181503</v>
          </cell>
        </row>
        <row r="278">
          <cell r="B278">
            <v>4915669</v>
          </cell>
          <cell r="C278" t="str">
            <v>SICRO</v>
          </cell>
          <cell r="D278" t="str">
            <v>Remoção mecanizada de camada granular do pavimento</v>
          </cell>
          <cell r="E278" t="str">
            <v>m³</v>
          </cell>
          <cell r="F278">
            <v>9.4740925137676886</v>
          </cell>
          <cell r="G278">
            <v>9.4740925137676886</v>
          </cell>
          <cell r="H278">
            <v>9.4740925137676886</v>
          </cell>
          <cell r="I278">
            <v>0</v>
          </cell>
          <cell r="J278">
            <v>9.5769784808372656</v>
          </cell>
          <cell r="K278">
            <v>9.5769784808372656</v>
          </cell>
          <cell r="L278">
            <v>9.5769784808372656</v>
          </cell>
          <cell r="W278">
            <v>5915405</v>
          </cell>
          <cell r="X278" t="str">
            <v>Carga, manobra e descarga de material de 3ª categoria, rocha ou matacão solto em caminhão basculante de 8 m³ - carga com carregadeira e descarga livre</v>
          </cell>
          <cell r="Y278" t="str">
            <v>t</v>
          </cell>
          <cell r="Z278">
            <v>2.96</v>
          </cell>
          <cell r="AA278">
            <v>0</v>
          </cell>
          <cell r="BC278" t="str">
            <v>M2086</v>
          </cell>
          <cell r="BD278" t="str">
            <v>Tachão refletivo bidirecional</v>
          </cell>
          <cell r="BE278" t="str">
            <v>un</v>
          </cell>
          <cell r="BF278">
            <v>29.565899999999999</v>
          </cell>
          <cell r="BG278">
            <v>0</v>
          </cell>
          <cell r="CC278">
            <v>0</v>
          </cell>
          <cell r="CD278" t="str">
            <v>Pintura de faixa - tinta base acrílica - espessura de 0,6 mm</v>
          </cell>
          <cell r="CE278" t="str">
            <v>m²</v>
          </cell>
          <cell r="CF278" t="str">
            <v>2 faixas cont. + 1 faixa não cont.</v>
          </cell>
          <cell r="CG278">
            <v>4.4871794871794872E-2</v>
          </cell>
          <cell r="CH278">
            <v>1</v>
          </cell>
          <cell r="CI278">
            <v>5213401</v>
          </cell>
          <cell r="CJ278">
            <v>20.390807290896916</v>
          </cell>
          <cell r="CK278">
            <v>1.2018158822830236</v>
          </cell>
          <cell r="CL278">
            <v>5213401</v>
          </cell>
          <cell r="CM278">
            <v>22.71825438768407</v>
          </cell>
          <cell r="CN278">
            <v>1.3389935254330845</v>
          </cell>
        </row>
        <row r="279">
          <cell r="B279">
            <v>4915667</v>
          </cell>
          <cell r="C279" t="str">
            <v>SICRO</v>
          </cell>
          <cell r="D279" t="str">
            <v>Remoção mecanizada de revestimento betuminoso</v>
          </cell>
          <cell r="E279" t="str">
            <v>m³</v>
          </cell>
          <cell r="F279">
            <v>10.718715325112329</v>
          </cell>
          <cell r="G279">
            <v>10.718715325112329</v>
          </cell>
          <cell r="H279">
            <v>10.718715325112329</v>
          </cell>
          <cell r="I279">
            <v>0</v>
          </cell>
          <cell r="J279">
            <v>10.8493105919441</v>
          </cell>
          <cell r="K279">
            <v>10.8493105919441</v>
          </cell>
          <cell r="L279">
            <v>10.8493105919441</v>
          </cell>
          <cell r="W279" t="str">
            <v>E9679</v>
          </cell>
          <cell r="X279" t="str">
            <v>Cavalo mecânico com reboque de 6 eixos com capacidade de 207 t - 440kW</v>
          </cell>
          <cell r="Y279" t="str">
            <v>h</v>
          </cell>
          <cell r="Z279">
            <v>673.42989999999998</v>
          </cell>
          <cell r="AA279">
            <v>249.31049999999999</v>
          </cell>
          <cell r="BC279" t="str">
            <v>M0008</v>
          </cell>
          <cell r="BD279" t="str">
            <v>Detergente</v>
          </cell>
          <cell r="BE279" t="str">
            <v>l</v>
          </cell>
          <cell r="BF279">
            <v>2.2591000000000001</v>
          </cell>
          <cell r="BG279">
            <v>0</v>
          </cell>
          <cell r="CC279">
            <v>0</v>
          </cell>
          <cell r="CD279" t="str">
            <v>Tacha refletiva monodirecional - fornecimento e colocação</v>
          </cell>
          <cell r="CE279" t="str">
            <v>un</v>
          </cell>
          <cell r="CF279" t="str">
            <v>3 / 16m / 7,8m largura</v>
          </cell>
          <cell r="CG279">
            <v>2.403846153846154E-2</v>
          </cell>
          <cell r="CH279">
            <v>1</v>
          </cell>
          <cell r="CI279">
            <v>5213359</v>
          </cell>
          <cell r="CJ279">
            <v>12.189996472111552</v>
          </cell>
          <cell r="CK279">
            <v>0.38489327803169532</v>
          </cell>
          <cell r="CL279">
            <v>5213359</v>
          </cell>
          <cell r="CM279">
            <v>14.739324009960159</v>
          </cell>
          <cell r="CN279">
            <v>0.46538706940102564</v>
          </cell>
        </row>
        <row r="280">
          <cell r="B280">
            <v>4915740</v>
          </cell>
          <cell r="C280" t="str">
            <v>SICRO</v>
          </cell>
          <cell r="D280" t="str">
            <v>Roçada manual</v>
          </cell>
          <cell r="E280" t="str">
            <v>ha</v>
          </cell>
          <cell r="F280">
            <v>1749.0735441666666</v>
          </cell>
          <cell r="G280">
            <v>1749.0735441666666</v>
          </cell>
          <cell r="H280">
            <v>1749.0735441666666</v>
          </cell>
          <cell r="I280">
            <v>0</v>
          </cell>
          <cell r="J280">
            <v>1794.7811873333337</v>
          </cell>
          <cell r="K280">
            <v>1794.7811873333337</v>
          </cell>
          <cell r="L280">
            <v>1794.7811873333337</v>
          </cell>
          <cell r="W280">
            <v>3108018</v>
          </cell>
          <cell r="X280" t="str">
            <v>Guia de madeira de 2,5 x 7,0 cm - confecção e instalação</v>
          </cell>
          <cell r="Y280" t="str">
            <v>m</v>
          </cell>
          <cell r="Z280">
            <v>2.48</v>
          </cell>
          <cell r="AA280">
            <v>0</v>
          </cell>
          <cell r="BC280" t="str">
            <v>M1624</v>
          </cell>
          <cell r="BD280" t="str">
            <v>Suporte polimérico ecológico maciço para placa de sinalização - seção quadrada de 8 cm</v>
          </cell>
          <cell r="BE280" t="str">
            <v>m</v>
          </cell>
          <cell r="BF280">
            <v>132.16</v>
          </cell>
          <cell r="BG280">
            <v>0</v>
          </cell>
          <cell r="CC280">
            <v>0</v>
          </cell>
          <cell r="CD280" t="str">
            <v>Tacha refletiva metálica com dois pinos - bidirecional - fornecimento e colocação</v>
          </cell>
          <cell r="CE280" t="str">
            <v>un</v>
          </cell>
          <cell r="CF280" t="str">
            <v>não aplicada</v>
          </cell>
          <cell r="CG280">
            <v>0</v>
          </cell>
          <cell r="CH280">
            <v>1</v>
          </cell>
          <cell r="CI280">
            <v>5213395</v>
          </cell>
          <cell r="CJ280">
            <v>32.534966247709477</v>
          </cell>
          <cell r="CK280">
            <v>0</v>
          </cell>
          <cell r="CL280">
            <v>5213395</v>
          </cell>
          <cell r="CM280">
            <v>34.530034902548728</v>
          </cell>
          <cell r="CN280">
            <v>0</v>
          </cell>
        </row>
        <row r="281">
          <cell r="B281">
            <v>4915742</v>
          </cell>
          <cell r="C281" t="str">
            <v>SICRO</v>
          </cell>
          <cell r="D281" t="str">
            <v>Roçada mecanizada</v>
          </cell>
          <cell r="E281" t="str">
            <v>ha</v>
          </cell>
          <cell r="F281">
            <v>284.35353904999999</v>
          </cell>
          <cell r="G281">
            <v>284.35353904999999</v>
          </cell>
          <cell r="H281">
            <v>284.35353904999999</v>
          </cell>
          <cell r="I281">
            <v>0</v>
          </cell>
          <cell r="J281">
            <v>303.5461359272727</v>
          </cell>
          <cell r="K281">
            <v>303.5461359272727</v>
          </cell>
          <cell r="L281">
            <v>303.5461359272727</v>
          </cell>
          <cell r="W281" t="str">
            <v>E9640</v>
          </cell>
          <cell r="X281" t="str">
            <v>Compressor de ar portátil de 71 PCM - 15 kW</v>
          </cell>
          <cell r="Y281" t="str">
            <v>h</v>
          </cell>
          <cell r="Z281">
            <v>13.819000000000001</v>
          </cell>
          <cell r="AA281">
            <v>3.3942000000000001</v>
          </cell>
          <cell r="BC281">
            <v>5213414</v>
          </cell>
          <cell r="BD281" t="str">
            <v xml:space="preserve">Confecção de placa em aço nº 16 galvanizado, com película retrorrefletiva tipo I + SI  </v>
          </cell>
          <cell r="BE281" t="str">
            <v>m²</v>
          </cell>
          <cell r="BF281">
            <v>451.5</v>
          </cell>
          <cell r="BG281">
            <v>0</v>
          </cell>
          <cell r="CC281" t="str">
            <v>R3,5</v>
          </cell>
          <cell r="CD281" t="str">
            <v xml:space="preserve"> REFORÇO: (3,5cm) CBUQ C/ POLÍMERO</v>
          </cell>
          <cell r="CE281">
            <v>0</v>
          </cell>
          <cell r="CF281">
            <v>0</v>
          </cell>
          <cell r="CG281">
            <v>0</v>
          </cell>
          <cell r="CH281">
            <v>0</v>
          </cell>
          <cell r="CI281">
            <v>0</v>
          </cell>
          <cell r="CJ281">
            <v>0</v>
          </cell>
          <cell r="CK281">
            <v>39.125123541068483</v>
          </cell>
          <cell r="CL281">
            <v>0</v>
          </cell>
          <cell r="CM281">
            <v>0</v>
          </cell>
          <cell r="CN281">
            <v>40.478147691352568</v>
          </cell>
        </row>
        <row r="282">
          <cell r="B282">
            <v>5213836</v>
          </cell>
          <cell r="C282" t="str">
            <v>SICRO</v>
          </cell>
          <cell r="D282" t="str">
            <v>Balizador cônico refletivo em polietileno semi flexível de 114 x 11 x 40 cm - utilização de 5 vezes</v>
          </cell>
          <cell r="E282" t="str">
            <v>un</v>
          </cell>
          <cell r="F282">
            <v>26.118580000000001</v>
          </cell>
          <cell r="G282">
            <v>26.118580000000001</v>
          </cell>
          <cell r="H282">
            <v>26.118580000000001</v>
          </cell>
          <cell r="I282">
            <v>0</v>
          </cell>
          <cell r="J282">
            <v>26.387054000000003</v>
          </cell>
          <cell r="K282">
            <v>26.387054000000003</v>
          </cell>
          <cell r="L282">
            <v>26.387054000000003</v>
          </cell>
          <cell r="W282">
            <v>0</v>
          </cell>
          <cell r="X282">
            <v>0</v>
          </cell>
          <cell r="Y282">
            <v>0</v>
          </cell>
          <cell r="Z282">
            <v>0</v>
          </cell>
          <cell r="AA282">
            <v>0</v>
          </cell>
          <cell r="BC282">
            <v>5213421</v>
          </cell>
          <cell r="BD282" t="str">
            <v xml:space="preserve">Confecção de placa em aço nº 16 galvanizado, com película tipo I + IV  </v>
          </cell>
          <cell r="BE282" t="str">
            <v>m²</v>
          </cell>
          <cell r="BF282">
            <v>260.25</v>
          </cell>
          <cell r="BG282">
            <v>0</v>
          </cell>
          <cell r="CC282" t="str">
            <v>(m²)</v>
          </cell>
          <cell r="CD282" t="str">
            <v>Concreto asfáltico com asfalto polímero - faixa C - areia e brita comerciais</v>
          </cell>
          <cell r="CE282" t="str">
            <v>t</v>
          </cell>
          <cell r="CF282">
            <v>3.5</v>
          </cell>
          <cell r="CG282">
            <v>8.4000000000000005E-2</v>
          </cell>
          <cell r="CH282">
            <v>1</v>
          </cell>
          <cell r="CI282">
            <v>4011466</v>
          </cell>
          <cell r="CJ282">
            <v>130.81939260452867</v>
          </cell>
          <cell r="CK282">
            <v>14.433826863628067</v>
          </cell>
          <cell r="CL282">
            <v>4011466</v>
          </cell>
          <cell r="CM282">
            <v>135.10461380032868</v>
          </cell>
          <cell r="CN282">
            <v>14.906632459045465</v>
          </cell>
        </row>
        <row r="283">
          <cell r="B283">
            <v>5213417</v>
          </cell>
          <cell r="C283" t="str">
            <v>SICRO</v>
          </cell>
          <cell r="D283" t="str">
            <v>Confecção de placa em aço nº 16 galvanizado, com película retrorrefletiva tipo I + III</v>
          </cell>
          <cell r="E283" t="str">
            <v>m²</v>
          </cell>
          <cell r="F283">
            <v>287.92651994639289</v>
          </cell>
          <cell r="G283">
            <v>287.92651994639289</v>
          </cell>
          <cell r="H283">
            <v>287.92651994639289</v>
          </cell>
          <cell r="I283">
            <v>0</v>
          </cell>
          <cell r="J283">
            <v>279.09848290653571</v>
          </cell>
          <cell r="K283">
            <v>279.09848290653571</v>
          </cell>
          <cell r="L283">
            <v>279.09848290653571</v>
          </cell>
          <cell r="W283">
            <v>0</v>
          </cell>
          <cell r="X283">
            <v>0</v>
          </cell>
          <cell r="Y283">
            <v>0</v>
          </cell>
          <cell r="Z283">
            <v>0</v>
          </cell>
          <cell r="AA283">
            <v>0</v>
          </cell>
          <cell r="BC283">
            <v>5213417</v>
          </cell>
          <cell r="BD283" t="str">
            <v xml:space="preserve">Confecção de placa em aço nº 16 galvanizado, com película retrorrefletiva tipo I + III  </v>
          </cell>
          <cell r="BE283" t="str">
            <v>m²</v>
          </cell>
          <cell r="BF283">
            <v>287.93</v>
          </cell>
          <cell r="BG283">
            <v>0</v>
          </cell>
          <cell r="CC283">
            <v>0</v>
          </cell>
          <cell r="CD283" t="str">
            <v>Fornecimento de Material Betuminoso c/ polímero SBS</v>
          </cell>
          <cell r="CE283" t="str">
            <v>t</v>
          </cell>
          <cell r="CF283" t="str">
            <v>0,057732 t</v>
          </cell>
          <cell r="CG283">
            <v>4.8494879999999999E-3</v>
          </cell>
          <cell r="CH283">
            <v>1</v>
          </cell>
          <cell r="CI283" t="str">
            <v>CPU10</v>
          </cell>
          <cell r="CJ283">
            <v>4481.4349761078774</v>
          </cell>
          <cell r="CK283">
            <v>21.732665139415438</v>
          </cell>
          <cell r="CL283" t="str">
            <v>CPU10-1</v>
          </cell>
          <cell r="CM283">
            <v>4614.4401264709131</v>
          </cell>
          <cell r="CN283">
            <v>22.377672020039174</v>
          </cell>
        </row>
        <row r="284">
          <cell r="B284">
            <v>5213418</v>
          </cell>
          <cell r="C284" t="str">
            <v>SICRO</v>
          </cell>
          <cell r="D284" t="str">
            <v>Confecção de placa em aço nº 16 galvanizado, com película retrorrefletiva tipo III + III</v>
          </cell>
          <cell r="E284" t="str">
            <v>m²</v>
          </cell>
          <cell r="F284">
            <v>332.14592558925</v>
          </cell>
          <cell r="G284">
            <v>332.14592558925</v>
          </cell>
          <cell r="H284">
            <v>332.14592558925</v>
          </cell>
          <cell r="I284">
            <v>0</v>
          </cell>
          <cell r="J284">
            <v>311.19764919224997</v>
          </cell>
          <cell r="K284">
            <v>311.19764919224997</v>
          </cell>
          <cell r="L284">
            <v>311.19764919224997</v>
          </cell>
          <cell r="W284">
            <v>0</v>
          </cell>
          <cell r="X284">
            <v>0</v>
          </cell>
          <cell r="Y284">
            <v>0</v>
          </cell>
          <cell r="Z284">
            <v>0</v>
          </cell>
          <cell r="AA284">
            <v>0</v>
          </cell>
          <cell r="BC284" t="str">
            <v>M0799</v>
          </cell>
          <cell r="BD284" t="str">
            <v>Semi-pórtico duplo metálico para vão de 2 x 2,7 m e vento de 35 m/s</v>
          </cell>
          <cell r="BE284" t="str">
            <v>un</v>
          </cell>
          <cell r="BF284">
            <v>22258.060600000001</v>
          </cell>
          <cell r="BG284">
            <v>0</v>
          </cell>
          <cell r="CC284">
            <v>0</v>
          </cell>
          <cell r="CD284" t="str">
            <v>Pintura de ligação</v>
          </cell>
          <cell r="CE284" t="str">
            <v>m²</v>
          </cell>
          <cell r="CF284">
            <v>1</v>
          </cell>
          <cell r="CG284">
            <v>1</v>
          </cell>
          <cell r="CH284">
            <v>1</v>
          </cell>
          <cell r="CI284">
            <v>4011353</v>
          </cell>
          <cell r="CJ284">
            <v>0.18392808219669335</v>
          </cell>
          <cell r="CK284">
            <v>0.24158953596535671</v>
          </cell>
          <cell r="CL284">
            <v>4011353</v>
          </cell>
          <cell r="CM284">
            <v>0.18912484066666665</v>
          </cell>
          <cell r="CN284">
            <v>0.24841547821566662</v>
          </cell>
        </row>
        <row r="285">
          <cell r="B285">
            <v>5213436</v>
          </cell>
          <cell r="C285" t="str">
            <v>SICRO</v>
          </cell>
          <cell r="D285" t="str">
            <v>Confecção de placa em aluminio, espessura de 1,5 mm, modulada, aérea, com película retrorrefletiva tipo III + X</v>
          </cell>
          <cell r="E285" t="str">
            <v>m²</v>
          </cell>
          <cell r="F285">
            <v>581.71195720549997</v>
          </cell>
          <cell r="G285">
            <v>581.71195720549997</v>
          </cell>
          <cell r="H285">
            <v>581.71195720549997</v>
          </cell>
          <cell r="I285">
            <v>0</v>
          </cell>
          <cell r="J285">
            <v>577.37173003149996</v>
          </cell>
          <cell r="K285">
            <v>577.37173003149996</v>
          </cell>
          <cell r="L285">
            <v>577.37173003149996</v>
          </cell>
          <cell r="W285">
            <v>0</v>
          </cell>
          <cell r="X285">
            <v>0</v>
          </cell>
          <cell r="Y285">
            <v>0</v>
          </cell>
          <cell r="Z285">
            <v>0</v>
          </cell>
          <cell r="AA285">
            <v>0</v>
          </cell>
          <cell r="BC285" t="str">
            <v>M3505</v>
          </cell>
          <cell r="BD285" t="str">
            <v>Material demolido - concreto simples</v>
          </cell>
          <cell r="BE285" t="str">
            <v>m³</v>
          </cell>
          <cell r="BF285">
            <v>0</v>
          </cell>
          <cell r="BG285">
            <v>0</v>
          </cell>
          <cell r="CC285">
            <v>0</v>
          </cell>
          <cell r="CD285" t="str">
            <v>Fornecimento de emulsão RR-1C</v>
          </cell>
          <cell r="CE285" t="str">
            <v>t</v>
          </cell>
          <cell r="CF285" t="str">
            <v>0,00045 t</v>
          </cell>
          <cell r="CG285">
            <v>4.4999999999999999E-4</v>
          </cell>
          <cell r="CH285">
            <v>1</v>
          </cell>
          <cell r="CI285" t="str">
            <v>CPU04</v>
          </cell>
          <cell r="CJ285">
            <v>2511.8507594331254</v>
          </cell>
          <cell r="CK285">
            <v>1.1303328417449063</v>
          </cell>
          <cell r="CL285" t="str">
            <v>CPU04-1</v>
          </cell>
          <cell r="CM285">
            <v>2535.6603093736671</v>
          </cell>
          <cell r="CN285">
            <v>1.1410471392181503</v>
          </cell>
        </row>
        <row r="286">
          <cell r="B286">
            <v>5213432</v>
          </cell>
          <cell r="C286" t="str">
            <v>SICRO</v>
          </cell>
          <cell r="D286" t="str">
            <v>Confecção de placa em chapa de poliester reforçada com fibra de vidro com película retrorrefletiva tipo III + III</v>
          </cell>
          <cell r="E286" t="str">
            <v>m²</v>
          </cell>
          <cell r="F286">
            <v>305.962732765</v>
          </cell>
          <cell r="G286">
            <v>305.962732765</v>
          </cell>
          <cell r="H286">
            <v>305.962732765</v>
          </cell>
          <cell r="I286">
            <v>0</v>
          </cell>
          <cell r="J286">
            <v>284.56092605166663</v>
          </cell>
          <cell r="K286">
            <v>284.56092605166663</v>
          </cell>
          <cell r="L286">
            <v>284.56092605166663</v>
          </cell>
          <cell r="W286" t="str">
            <v>E9041</v>
          </cell>
          <cell r="X286" t="str">
            <v>Caminhão carroceria com guindauto com capacidade de 45 t.m - 188 kW</v>
          </cell>
          <cell r="Y286" t="str">
            <v>h</v>
          </cell>
          <cell r="Z286">
            <v>230.25640000000001</v>
          </cell>
          <cell r="AA286">
            <v>97.983000000000004</v>
          </cell>
          <cell r="BC286" t="str">
            <v>E9621</v>
          </cell>
          <cell r="BD286" t="str">
            <v>Bomba de injeção de argamassa e nata com capacidade de 50 l/min e misturador com tambor de 150 l - 12,5 kW</v>
          </cell>
          <cell r="BE286" t="str">
            <v>h</v>
          </cell>
          <cell r="BF286">
            <v>64.140199999999993</v>
          </cell>
          <cell r="BG286">
            <v>41.3476</v>
          </cell>
          <cell r="CC286">
            <v>0</v>
          </cell>
          <cell r="CD286" t="str">
            <v>Pintura de faixa - tinta base acrílica - espessura de 0,6 mm</v>
          </cell>
          <cell r="CE286" t="str">
            <v>m²</v>
          </cell>
          <cell r="CF286" t="str">
            <v>2 faixas cont. + 1 faixa não cont.</v>
          </cell>
          <cell r="CG286">
            <v>4.4871794871794872E-2</v>
          </cell>
          <cell r="CH286">
            <v>1</v>
          </cell>
          <cell r="CI286">
            <v>5213401</v>
          </cell>
          <cell r="CJ286">
            <v>20.390807290896916</v>
          </cell>
          <cell r="CK286">
            <v>1.2018158822830236</v>
          </cell>
          <cell r="CL286">
            <v>5213401</v>
          </cell>
          <cell r="CM286">
            <v>22.71825438768407</v>
          </cell>
          <cell r="CN286">
            <v>1.3389935254330845</v>
          </cell>
        </row>
        <row r="287">
          <cell r="B287">
            <v>5213437</v>
          </cell>
          <cell r="C287" t="str">
            <v>SICRO</v>
          </cell>
          <cell r="D287" t="str">
            <v>Confecção de placa modulada em chapa de poliester reforçada com fibra de vidro, aérea, com película retrorrefletiva tipo I + III</v>
          </cell>
          <cell r="E287" t="str">
            <v>m²</v>
          </cell>
          <cell r="F287">
            <v>359.69382810074285</v>
          </cell>
          <cell r="G287">
            <v>359.69382810074285</v>
          </cell>
          <cell r="H287">
            <v>359.69382810074285</v>
          </cell>
          <cell r="I287">
            <v>0</v>
          </cell>
          <cell r="J287">
            <v>363.94866070398575</v>
          </cell>
          <cell r="K287">
            <v>363.94866070398575</v>
          </cell>
          <cell r="L287">
            <v>363.94866070398575</v>
          </cell>
          <cell r="W287">
            <v>5915015</v>
          </cell>
          <cell r="X287" t="str">
            <v>Carga, manobra e descarga de materiais diversos em caminhão carroceria com guindauto com capacidade de 45 t.m</v>
          </cell>
          <cell r="Y287" t="str">
            <v>t</v>
          </cell>
          <cell r="Z287">
            <v>13.37</v>
          </cell>
          <cell r="AA287">
            <v>0</v>
          </cell>
          <cell r="BC287" t="str">
            <v>E9740</v>
          </cell>
          <cell r="BD287" t="str">
            <v>Quadro tubular contraventado para andaime de 1 x 1 x 1 m com capacidade de 2 t</v>
          </cell>
          <cell r="BE287" t="str">
            <v>h</v>
          </cell>
          <cell r="BF287">
            <v>0.1103</v>
          </cell>
          <cell r="BG287">
            <v>8.6300000000000002E-2</v>
          </cell>
          <cell r="CC287">
            <v>0</v>
          </cell>
          <cell r="CD287" t="str">
            <v>Tacha refletiva monodirecional - fornecimento e colocação</v>
          </cell>
          <cell r="CE287" t="str">
            <v>un</v>
          </cell>
          <cell r="CF287" t="str">
            <v>3 / 16m / 7,8m largura</v>
          </cell>
          <cell r="CG287">
            <v>2.403846153846154E-2</v>
          </cell>
          <cell r="CH287">
            <v>1</v>
          </cell>
          <cell r="CI287">
            <v>5213359</v>
          </cell>
          <cell r="CJ287">
            <v>12.189996472111552</v>
          </cell>
          <cell r="CK287">
            <v>0.38489327803169532</v>
          </cell>
          <cell r="CL287">
            <v>5213359</v>
          </cell>
          <cell r="CM287">
            <v>14.739324009960159</v>
          </cell>
          <cell r="CN287">
            <v>0.46538706940102564</v>
          </cell>
        </row>
        <row r="288">
          <cell r="B288">
            <v>5213466</v>
          </cell>
          <cell r="C288" t="str">
            <v>SICRO</v>
          </cell>
          <cell r="D288" t="str">
            <v>Fornecimento e implantação de placa de advertência em aço, lado de 1,00 m - película retrorrefletiva tipo I e SI</v>
          </cell>
          <cell r="E288" t="str">
            <v>un</v>
          </cell>
          <cell r="F288">
            <v>494.55602930000003</v>
          </cell>
          <cell r="G288">
            <v>494.55602930000003</v>
          </cell>
          <cell r="H288">
            <v>494.55602930000003</v>
          </cell>
          <cell r="I288">
            <v>0</v>
          </cell>
          <cell r="J288">
            <v>497.46909093333335</v>
          </cell>
          <cell r="K288">
            <v>497.46909093333335</v>
          </cell>
          <cell r="L288">
            <v>497.46909093333335</v>
          </cell>
          <cell r="W288">
            <v>3713823</v>
          </cell>
          <cell r="X288" t="str">
            <v xml:space="preserve">Confecção de barreira simples de concreto, armada, pré-moldada (perfil New Jersey) - L &gt; 3,00 m e 810 ≤ H ≥ 1.070 mm </v>
          </cell>
          <cell r="Y288" t="str">
            <v>m</v>
          </cell>
          <cell r="Z288">
            <v>508.62</v>
          </cell>
          <cell r="AA288">
            <v>0</v>
          </cell>
          <cell r="BC288" t="str">
            <v>E9510</v>
          </cell>
          <cell r="BD288" t="str">
            <v>Ventilador centrífugo baixa pressão com capacidade de 58 m³/min - 3,68 kW</v>
          </cell>
          <cell r="BE288" t="str">
            <v>h</v>
          </cell>
          <cell r="BF288">
            <v>1.35</v>
          </cell>
          <cell r="BG288">
            <v>0.86780000000000002</v>
          </cell>
          <cell r="CC288">
            <v>0</v>
          </cell>
          <cell r="CD288" t="str">
            <v>Tacha refletiva metálica com dois pinos - bidirecional - fornecimento e colocação</v>
          </cell>
          <cell r="CE288" t="str">
            <v>un</v>
          </cell>
          <cell r="CF288" t="str">
            <v>não aplicada</v>
          </cell>
          <cell r="CG288">
            <v>0</v>
          </cell>
          <cell r="CH288">
            <v>1</v>
          </cell>
          <cell r="CI288">
            <v>5213395</v>
          </cell>
          <cell r="CJ288">
            <v>32.534966247709477</v>
          </cell>
          <cell r="CK288">
            <v>0</v>
          </cell>
          <cell r="CL288">
            <v>5213395</v>
          </cell>
          <cell r="CM288">
            <v>34.530034902548728</v>
          </cell>
          <cell r="CN288">
            <v>0</v>
          </cell>
        </row>
        <row r="289">
          <cell r="B289">
            <v>5213442</v>
          </cell>
          <cell r="C289" t="str">
            <v>SICRO</v>
          </cell>
          <cell r="D289" t="str">
            <v>Fornecimento e implantação de placa de regulamentação em aço D = 1,00 m - película retrorrefletiva tipo I e SI</v>
          </cell>
          <cell r="E289" t="str">
            <v>un</v>
          </cell>
          <cell r="F289">
            <v>397.60549429221999</v>
          </cell>
          <cell r="G289">
            <v>397.60549429221999</v>
          </cell>
          <cell r="H289">
            <v>397.60549429221999</v>
          </cell>
          <cell r="I289">
            <v>0</v>
          </cell>
          <cell r="J289">
            <v>400.06277808037333</v>
          </cell>
          <cell r="K289">
            <v>400.06277808037333</v>
          </cell>
          <cell r="L289">
            <v>400.06277808037333</v>
          </cell>
          <cell r="W289" t="str">
            <v>E9745</v>
          </cell>
          <cell r="X289" t="str">
            <v>Trator de pneus com roçadeira a diesel - 77 kW</v>
          </cell>
          <cell r="Y289" t="str">
            <v>h</v>
          </cell>
          <cell r="Z289">
            <v>88.397599999999997</v>
          </cell>
          <cell r="AA289">
            <v>40.120600000000003</v>
          </cell>
          <cell r="BC289" t="str">
            <v>M1797</v>
          </cell>
          <cell r="BD289" t="str">
            <v>Fita de espuma EPDM para vedação com adesivo uma face de 4 x 40 mm</v>
          </cell>
          <cell r="BE289" t="str">
            <v>m</v>
          </cell>
          <cell r="BF289">
            <v>2.7</v>
          </cell>
          <cell r="BG289">
            <v>0</v>
          </cell>
          <cell r="CC289" t="str">
            <v>R4</v>
          </cell>
          <cell r="CD289" t="str">
            <v xml:space="preserve"> REFORÇO: (4,0cm) CBUQ C/ POLÍMERO</v>
          </cell>
          <cell r="CE289">
            <v>0</v>
          </cell>
          <cell r="CF289">
            <v>0</v>
          </cell>
          <cell r="CG289">
            <v>0</v>
          </cell>
          <cell r="CH289">
            <v>0</v>
          </cell>
          <cell r="CI289">
            <v>0</v>
          </cell>
          <cell r="CJ289">
            <v>0</v>
          </cell>
          <cell r="CK289">
            <v>44.291765255788981</v>
          </cell>
          <cell r="CL289">
            <v>0</v>
          </cell>
          <cell r="CM289">
            <v>0</v>
          </cell>
          <cell r="CN289">
            <v>45.804476902650372</v>
          </cell>
        </row>
        <row r="290">
          <cell r="B290">
            <v>5213446</v>
          </cell>
          <cell r="C290" t="str">
            <v>SICRO</v>
          </cell>
          <cell r="D290" t="str">
            <v>Fornecimento e implantação de placa de regulamentação em aço, R1 lado 0,414 m - película retrorrefletiva tipo I e SI</v>
          </cell>
          <cell r="E290" t="str">
            <v>un</v>
          </cell>
          <cell r="F290">
            <v>416.65677137180103</v>
          </cell>
          <cell r="G290">
            <v>416.65677137180103</v>
          </cell>
          <cell r="H290">
            <v>416.65677137180103</v>
          </cell>
          <cell r="I290">
            <v>0</v>
          </cell>
          <cell r="J290">
            <v>419.20361784276537</v>
          </cell>
          <cell r="K290">
            <v>419.20361784276537</v>
          </cell>
          <cell r="L290">
            <v>419.20361784276537</v>
          </cell>
          <cell r="W290" t="str">
            <v>E9071</v>
          </cell>
          <cell r="X290" t="str">
            <v>Transportador manual carrinho de mão com capacidade de 80 l</v>
          </cell>
          <cell r="Y290" t="str">
            <v>h</v>
          </cell>
          <cell r="Z290">
            <v>0.21929999999999999</v>
          </cell>
          <cell r="AA290">
            <v>0.14899999999999999</v>
          </cell>
          <cell r="BC290" t="str">
            <v>M2524</v>
          </cell>
          <cell r="BD290" t="str">
            <v>Tunnel liner de chapa com epóxi - E = 2,2 mm e D = 2,0 m</v>
          </cell>
          <cell r="BE290" t="str">
            <v>m</v>
          </cell>
          <cell r="BF290">
            <v>2861.1806999999999</v>
          </cell>
          <cell r="BG290">
            <v>0</v>
          </cell>
          <cell r="CC290" t="str">
            <v>(m²)</v>
          </cell>
          <cell r="CD290" t="str">
            <v>Concreto asfáltico com asfalto polímero - faixa C - areia e brita comerciais</v>
          </cell>
          <cell r="CE290" t="str">
            <v>t</v>
          </cell>
          <cell r="CF290">
            <v>4</v>
          </cell>
          <cell r="CG290">
            <v>9.6000000000000002E-2</v>
          </cell>
          <cell r="CH290">
            <v>1</v>
          </cell>
          <cell r="CI290">
            <v>4011466</v>
          </cell>
          <cell r="CJ290">
            <v>130.81939260452867</v>
          </cell>
          <cell r="CK290">
            <v>16.495802129860646</v>
          </cell>
          <cell r="CL290">
            <v>4011466</v>
          </cell>
          <cell r="CM290">
            <v>135.10461380032868</v>
          </cell>
          <cell r="CN290">
            <v>17.036151381766242</v>
          </cell>
        </row>
        <row r="291">
          <cell r="B291">
            <v>5213450</v>
          </cell>
          <cell r="C291" t="str">
            <v>SICRO</v>
          </cell>
          <cell r="D291" t="str">
            <v>Fornecimento e implantação de placa de regulamentação em aço, R2 lado 1,00 m - película retrorrefletiva tipo I e SI</v>
          </cell>
          <cell r="E291" t="str">
            <v>un</v>
          </cell>
          <cell r="F291">
            <v>238.40512601919301</v>
          </cell>
          <cell r="G291">
            <v>238.40512601919301</v>
          </cell>
          <cell r="H291">
            <v>238.40512601919301</v>
          </cell>
          <cell r="I291">
            <v>0</v>
          </cell>
          <cell r="J291">
            <v>240.11398690490932</v>
          </cell>
          <cell r="K291">
            <v>240.11398690490932</v>
          </cell>
          <cell r="L291">
            <v>240.11398690490932</v>
          </cell>
          <cell r="W291" t="str">
            <v>M3802</v>
          </cell>
          <cell r="X291" t="str">
            <v>Animais de pequeno porte mortos em rodovia</v>
          </cell>
          <cell r="Y291" t="str">
            <v>t</v>
          </cell>
          <cell r="Z291">
            <v>0</v>
          </cell>
          <cell r="AA291">
            <v>0</v>
          </cell>
          <cell r="BC291">
            <v>605604</v>
          </cell>
          <cell r="BD291" t="str">
            <v xml:space="preserve">Argamassa de solo-cimento com 10% de cimento e material de jazida - preparo para injeção em tunnel liner </v>
          </cell>
          <cell r="BE291" t="str">
            <v>m³</v>
          </cell>
          <cell r="BF291">
            <v>81.38</v>
          </cell>
          <cell r="BG291">
            <v>0</v>
          </cell>
          <cell r="CC291">
            <v>0</v>
          </cell>
          <cell r="CD291" t="str">
            <v>Fornecimento de Material Betuminoso c/ polímero SBS</v>
          </cell>
          <cell r="CE291" t="str">
            <v>t</v>
          </cell>
          <cell r="CF291" t="str">
            <v>0,057732 t</v>
          </cell>
          <cell r="CG291">
            <v>5.542272E-3</v>
          </cell>
          <cell r="CH291">
            <v>1</v>
          </cell>
          <cell r="CI291" t="str">
            <v>CPU10</v>
          </cell>
          <cell r="CJ291">
            <v>4481.4349761078774</v>
          </cell>
          <cell r="CK291">
            <v>24.837331587903357</v>
          </cell>
          <cell r="CL291" t="str">
            <v>CPU10-1</v>
          </cell>
          <cell r="CM291">
            <v>4614.4401264709131</v>
          </cell>
          <cell r="CN291">
            <v>25.574482308616201</v>
          </cell>
        </row>
        <row r="292">
          <cell r="B292">
            <v>5213477</v>
          </cell>
          <cell r="C292" t="str">
            <v>SICRO</v>
          </cell>
          <cell r="D292" t="str">
            <v>Fornecimento e implantação de placa delineador em aço - 0,30 x 0,90 m - película retrorrefletiva tipo I + IV</v>
          </cell>
          <cell r="E292" t="str">
            <v>un</v>
          </cell>
          <cell r="F292">
            <v>113.12396072499999</v>
          </cell>
          <cell r="G292">
            <v>113.12396072499999</v>
          </cell>
          <cell r="H292">
            <v>113.12396072499999</v>
          </cell>
          <cell r="I292">
            <v>0</v>
          </cell>
          <cell r="J292">
            <v>112.04851153333334</v>
          </cell>
          <cell r="K292">
            <v>112.04851153333334</v>
          </cell>
          <cell r="L292">
            <v>112.04851153333334</v>
          </cell>
          <cell r="W292" t="str">
            <v>E9684</v>
          </cell>
          <cell r="X292" t="str">
            <v>Veículo leve Pick Up 4 x 4 - 147 kW</v>
          </cell>
          <cell r="Y292" t="str">
            <v>h</v>
          </cell>
          <cell r="Z292">
            <v>121.2149</v>
          </cell>
          <cell r="AA292">
            <v>37.718600000000002</v>
          </cell>
          <cell r="BC292">
            <v>4816000</v>
          </cell>
          <cell r="BD292" t="str">
            <v xml:space="preserve">Escavação manual de tunnel liner em material de 1ª categoria </v>
          </cell>
          <cell r="BE292" t="str">
            <v>m³</v>
          </cell>
          <cell r="BF292">
            <v>436.88</v>
          </cell>
          <cell r="BG292">
            <v>0</v>
          </cell>
          <cell r="CC292">
            <v>0</v>
          </cell>
          <cell r="CD292" t="str">
            <v>Pintura de ligação</v>
          </cell>
          <cell r="CE292" t="str">
            <v>m²</v>
          </cell>
          <cell r="CF292">
            <v>1</v>
          </cell>
          <cell r="CG292">
            <v>1</v>
          </cell>
          <cell r="CH292">
            <v>1</v>
          </cell>
          <cell r="CI292">
            <v>4011353</v>
          </cell>
          <cell r="CJ292">
            <v>0.18392808219669335</v>
          </cell>
          <cell r="CK292">
            <v>0.24158953596535671</v>
          </cell>
          <cell r="CL292">
            <v>4011353</v>
          </cell>
          <cell r="CM292">
            <v>0.18912484066666665</v>
          </cell>
          <cell r="CN292">
            <v>0.24841547821566662</v>
          </cell>
        </row>
        <row r="293">
          <cell r="B293">
            <v>5213476</v>
          </cell>
          <cell r="C293" t="str">
            <v>SICRO</v>
          </cell>
          <cell r="D293" t="str">
            <v>Fornecimento e implantação de placa delineador em aço - 0,50 x 0,60 m - película retrorrefletiva tipo I + IV</v>
          </cell>
          <cell r="E293" t="str">
            <v>un</v>
          </cell>
          <cell r="F293">
            <v>120.93964525</v>
          </cell>
          <cell r="G293">
            <v>120.93964525</v>
          </cell>
          <cell r="H293">
            <v>120.93964525</v>
          </cell>
          <cell r="I293">
            <v>0</v>
          </cell>
          <cell r="J293">
            <v>119.65701133333334</v>
          </cell>
          <cell r="K293">
            <v>119.65701133333334</v>
          </cell>
          <cell r="L293">
            <v>119.65701133333334</v>
          </cell>
          <cell r="W293" t="str">
            <v>M3803</v>
          </cell>
          <cell r="X293" t="str">
            <v>Emborrachados de pneus espalhados em rodovia</v>
          </cell>
          <cell r="Y293" t="str">
            <v>t</v>
          </cell>
          <cell r="Z293">
            <v>0</v>
          </cell>
          <cell r="AA293">
            <v>0</v>
          </cell>
          <cell r="BC293">
            <v>4816003</v>
          </cell>
          <cell r="BD293" t="str">
            <v xml:space="preserve">Iluminação provisória para tunnel liner </v>
          </cell>
          <cell r="BE293" t="str">
            <v>m</v>
          </cell>
          <cell r="BF293">
            <v>27.63</v>
          </cell>
          <cell r="BG293">
            <v>0</v>
          </cell>
          <cell r="CC293">
            <v>0</v>
          </cell>
          <cell r="CD293" t="str">
            <v>Fornecimento de emulsão RR-1C</v>
          </cell>
          <cell r="CE293" t="str">
            <v>t</v>
          </cell>
          <cell r="CF293" t="str">
            <v>0,00045 t</v>
          </cell>
          <cell r="CG293">
            <v>4.4999999999999999E-4</v>
          </cell>
          <cell r="CH293">
            <v>1</v>
          </cell>
          <cell r="CI293" t="str">
            <v>CPU04</v>
          </cell>
          <cell r="CJ293">
            <v>2511.8507594331254</v>
          </cell>
          <cell r="CK293">
            <v>1.1303328417449063</v>
          </cell>
          <cell r="CL293" t="str">
            <v>CPU04-1</v>
          </cell>
          <cell r="CM293">
            <v>2535.6603093736671</v>
          </cell>
          <cell r="CN293">
            <v>1.1410471392181503</v>
          </cell>
        </row>
        <row r="294">
          <cell r="B294">
            <v>5213572</v>
          </cell>
          <cell r="C294" t="str">
            <v>SICRO</v>
          </cell>
          <cell r="D294" t="str">
            <v>Fornecimento e implantação de placa em aço - película III + III</v>
          </cell>
          <cell r="E294" t="str">
            <v>m²</v>
          </cell>
          <cell r="F294">
            <v>375.21011040462429</v>
          </cell>
          <cell r="G294">
            <v>375.21011040462429</v>
          </cell>
          <cell r="H294">
            <v>375.21011040462429</v>
          </cell>
          <cell r="I294">
            <v>0</v>
          </cell>
          <cell r="J294">
            <v>355.05322951830442</v>
          </cell>
          <cell r="K294">
            <v>355.05322951830442</v>
          </cell>
          <cell r="L294">
            <v>355.05322951830442</v>
          </cell>
          <cell r="W294" t="str">
            <v>M2488</v>
          </cell>
          <cell r="X294" t="str">
            <v>Cinta de elevação tipo Grab com 1 ramal anel, gancho de 3 a 5 m e capacidade de 5.000 kg - segurança 4:1</v>
          </cell>
          <cell r="Y294" t="str">
            <v>un</v>
          </cell>
          <cell r="Z294">
            <v>425.7</v>
          </cell>
          <cell r="AA294">
            <v>0</v>
          </cell>
          <cell r="BC294">
            <v>4816004</v>
          </cell>
          <cell r="BD294" t="str">
            <v xml:space="preserve">Ventilação provisória para tunnel liner </v>
          </cell>
          <cell r="BE294" t="str">
            <v>m</v>
          </cell>
          <cell r="BF294">
            <v>26.64</v>
          </cell>
          <cell r="BG294">
            <v>0</v>
          </cell>
          <cell r="CC294">
            <v>0</v>
          </cell>
          <cell r="CD294" t="str">
            <v>Pintura de faixa - tinta base acrílica - espessura de 0,6 mm</v>
          </cell>
          <cell r="CE294" t="str">
            <v>m²</v>
          </cell>
          <cell r="CF294" t="str">
            <v>2 faixas cont. + 1 faixa não cont.</v>
          </cell>
          <cell r="CG294">
            <v>4.4871794871794872E-2</v>
          </cell>
          <cell r="CH294">
            <v>1</v>
          </cell>
          <cell r="CI294">
            <v>5213401</v>
          </cell>
          <cell r="CJ294">
            <v>20.390807290896916</v>
          </cell>
          <cell r="CK294">
            <v>1.2018158822830236</v>
          </cell>
          <cell r="CL294">
            <v>5213401</v>
          </cell>
          <cell r="CM294">
            <v>22.71825438768407</v>
          </cell>
          <cell r="CN294">
            <v>1.3389935254330845</v>
          </cell>
        </row>
        <row r="295">
          <cell r="B295">
            <v>5213498</v>
          </cell>
          <cell r="C295" t="str">
            <v>SICRO</v>
          </cell>
          <cell r="D295" t="str">
            <v>Fornecimento e implantação de placa em aço - 2,00 x 1,00 m - película retrorrefletiva tipo I + III</v>
          </cell>
          <cell r="E295" t="str">
            <v>un</v>
          </cell>
          <cell r="F295">
            <v>640.58660028571433</v>
          </cell>
          <cell r="G295">
            <v>640.58660028571433</v>
          </cell>
          <cell r="H295">
            <v>640.58660028571433</v>
          </cell>
          <cell r="I295">
            <v>0</v>
          </cell>
          <cell r="J295">
            <v>624.11820057142859</v>
          </cell>
          <cell r="K295">
            <v>624.11820057142859</v>
          </cell>
          <cell r="L295">
            <v>624.11820057142859</v>
          </cell>
          <cell r="W295" t="str">
            <v>M3806</v>
          </cell>
          <cell r="X295" t="str">
            <v>Sucatas derramadas em rodovia</v>
          </cell>
          <cell r="Y295" t="str">
            <v>t</v>
          </cell>
          <cell r="Z295">
            <v>0</v>
          </cell>
          <cell r="AA295">
            <v>0</v>
          </cell>
          <cell r="BC295" t="str">
            <v>M2529</v>
          </cell>
          <cell r="BD295" t="str">
            <v>Tunnel liner de chapa com epóxi - E = 2,2 mm e D = 3,0 m</v>
          </cell>
          <cell r="BE295" t="str">
            <v>m</v>
          </cell>
          <cell r="BF295">
            <v>4291.8176999999996</v>
          </cell>
          <cell r="BG295">
            <v>0</v>
          </cell>
          <cell r="CC295">
            <v>0</v>
          </cell>
          <cell r="CD295" t="str">
            <v>Tacha refletiva monodirecional - fornecimento e colocação</v>
          </cell>
          <cell r="CE295" t="str">
            <v>un</v>
          </cell>
          <cell r="CF295" t="str">
            <v>3 / 16m / 7,8m largura</v>
          </cell>
          <cell r="CG295">
            <v>2.403846153846154E-2</v>
          </cell>
          <cell r="CH295">
            <v>1</v>
          </cell>
          <cell r="CI295">
            <v>5213359</v>
          </cell>
          <cell r="CJ295">
            <v>12.189996472111552</v>
          </cell>
          <cell r="CK295">
            <v>0.38489327803169532</v>
          </cell>
          <cell r="CL295">
            <v>5213359</v>
          </cell>
          <cell r="CM295">
            <v>14.739324009960159</v>
          </cell>
          <cell r="CN295">
            <v>0.46538706940102564</v>
          </cell>
        </row>
        <row r="296">
          <cell r="B296">
            <v>5213500</v>
          </cell>
          <cell r="C296" t="str">
            <v>SICRO</v>
          </cell>
          <cell r="D296" t="str">
            <v>Fornecimento e implantação de placa em aço - 3,00 x 2,00 m - película retrorrefletiva tipo I + III</v>
          </cell>
          <cell r="E296" t="str">
            <v>un</v>
          </cell>
          <cell r="F296">
            <v>1793.4114008571428</v>
          </cell>
          <cell r="G296">
            <v>1793.4114008571428</v>
          </cell>
          <cell r="H296">
            <v>1793.4114008571428</v>
          </cell>
          <cell r="I296">
            <v>0</v>
          </cell>
          <cell r="J296">
            <v>1741.6385617142857</v>
          </cell>
          <cell r="K296">
            <v>1741.6385617142857</v>
          </cell>
          <cell r="L296">
            <v>1741.6385617142857</v>
          </cell>
          <cell r="W296" t="str">
            <v>E9697</v>
          </cell>
          <cell r="X296" t="str">
            <v>Mini-carregadeira de pneus com vassoura de 1,8 m - 42 kW</v>
          </cell>
          <cell r="Y296" t="str">
            <v>h</v>
          </cell>
          <cell r="Z296">
            <v>80.903999999999996</v>
          </cell>
          <cell r="AA296">
            <v>46.599299999999999</v>
          </cell>
          <cell r="BC296">
            <v>605606</v>
          </cell>
          <cell r="BD296" t="str">
            <v xml:space="preserve">Sistema de escoramento telescópico regulável para tunnel liner </v>
          </cell>
          <cell r="BE296" t="str">
            <v>m³</v>
          </cell>
          <cell r="BF296">
            <v>7.06</v>
          </cell>
          <cell r="BG296">
            <v>0</v>
          </cell>
          <cell r="CC296">
            <v>0</v>
          </cell>
          <cell r="CD296" t="str">
            <v>Tacha refletiva metálica com dois pinos - bidirecional - fornecimento e colocação</v>
          </cell>
          <cell r="CE296" t="str">
            <v>un</v>
          </cell>
          <cell r="CF296" t="str">
            <v>não aplicada</v>
          </cell>
          <cell r="CG296">
            <v>0</v>
          </cell>
          <cell r="CH296">
            <v>1</v>
          </cell>
          <cell r="CI296">
            <v>5213395</v>
          </cell>
          <cell r="CJ296">
            <v>32.534966247709477</v>
          </cell>
          <cell r="CK296">
            <v>0</v>
          </cell>
          <cell r="CL296">
            <v>5213395</v>
          </cell>
          <cell r="CM296">
            <v>34.530034902548728</v>
          </cell>
          <cell r="CN296">
            <v>0</v>
          </cell>
        </row>
        <row r="297">
          <cell r="B297">
            <v>5213577</v>
          </cell>
          <cell r="C297" t="str">
            <v>SICRO</v>
          </cell>
          <cell r="D297" t="str">
            <v>Fornecimento e implantação de placa em aço, modulada - acima de 2 m² - película I + III</v>
          </cell>
          <cell r="E297" t="str">
            <v>m²</v>
          </cell>
          <cell r="F297">
            <v>418.58027010000001</v>
          </cell>
          <cell r="G297">
            <v>418.58027010000001</v>
          </cell>
          <cell r="H297">
            <v>418.58027010000001</v>
          </cell>
          <cell r="I297">
            <v>0</v>
          </cell>
          <cell r="J297">
            <v>421.28423653333334</v>
          </cell>
          <cell r="K297">
            <v>421.28423653333334</v>
          </cell>
          <cell r="L297">
            <v>421.28423653333334</v>
          </cell>
          <cell r="W297" t="str">
            <v>M3813</v>
          </cell>
          <cell r="X297" t="str">
            <v>Vidros, caixas e engradados derramados na pista em rodovia</v>
          </cell>
          <cell r="Y297" t="str">
            <v>t</v>
          </cell>
          <cell r="Z297">
            <v>0</v>
          </cell>
          <cell r="AA297">
            <v>0</v>
          </cell>
          <cell r="BC297">
            <v>6817753</v>
          </cell>
          <cell r="BD297" t="str">
            <v xml:space="preserve">Confecção de BSCC - seção 1,5 x 1,5 m fechada - tipo I - areia e brita comerciais </v>
          </cell>
          <cell r="BE297" t="str">
            <v>m</v>
          </cell>
          <cell r="BF297">
            <v>822.26</v>
          </cell>
          <cell r="BG297">
            <v>0</v>
          </cell>
          <cell r="CC297" t="str">
            <v>R4,5</v>
          </cell>
          <cell r="CD297" t="str">
            <v xml:space="preserve"> REFORÇO: (4,5cm) CBUQ C/ POLÍMERO</v>
          </cell>
          <cell r="CE297">
            <v>0</v>
          </cell>
          <cell r="CF297">
            <v>0</v>
          </cell>
          <cell r="CG297">
            <v>0</v>
          </cell>
          <cell r="CH297">
            <v>0</v>
          </cell>
          <cell r="CI297">
            <v>0</v>
          </cell>
          <cell r="CJ297">
            <v>0</v>
          </cell>
          <cell r="CK297">
            <v>49.458406970509486</v>
          </cell>
          <cell r="CL297">
            <v>0</v>
          </cell>
          <cell r="CM297">
            <v>0</v>
          </cell>
          <cell r="CN297">
            <v>51.130806113948182</v>
          </cell>
        </row>
        <row r="298">
          <cell r="B298">
            <v>5213578</v>
          </cell>
          <cell r="C298" t="str">
            <v>SICRO</v>
          </cell>
          <cell r="D298" t="str">
            <v>Fornecimento e implantação de placa em aço, modulada - acima de 2 m² - película III + III</v>
          </cell>
          <cell r="E298" t="str">
            <v>m²</v>
          </cell>
          <cell r="F298">
            <v>462.78738750000002</v>
          </cell>
          <cell r="G298">
            <v>462.78738750000002</v>
          </cell>
          <cell r="H298">
            <v>462.78738750000002</v>
          </cell>
          <cell r="I298">
            <v>0</v>
          </cell>
          <cell r="J298">
            <v>453.38131333333337</v>
          </cell>
          <cell r="K298">
            <v>453.38131333333337</v>
          </cell>
          <cell r="L298">
            <v>453.38131333333337</v>
          </cell>
          <cell r="W298" t="str">
            <v>M0069</v>
          </cell>
          <cell r="X298" t="str">
            <v>Arame farpado galvanizado 16 BWG</v>
          </cell>
          <cell r="Y298" t="str">
            <v>m</v>
          </cell>
          <cell r="Z298">
            <v>0.44969999999999999</v>
          </cell>
          <cell r="AA298">
            <v>0</v>
          </cell>
          <cell r="BC298">
            <v>4805752</v>
          </cell>
          <cell r="BD298" t="str">
            <v xml:space="preserve">Escavação manual em material de 1ª categoria na profundidade de 2 a 3 m </v>
          </cell>
          <cell r="BE298" t="str">
            <v>m³</v>
          </cell>
          <cell r="BF298">
            <v>59.97</v>
          </cell>
          <cell r="BG298">
            <v>0</v>
          </cell>
          <cell r="CC298" t="str">
            <v>(m²)</v>
          </cell>
          <cell r="CD298" t="str">
            <v>Concreto asfáltico com asfalto polímero - faixa C - areia e brita comerciais</v>
          </cell>
          <cell r="CE298" t="str">
            <v>t</v>
          </cell>
          <cell r="CF298">
            <v>4.5</v>
          </cell>
          <cell r="CG298">
            <v>0.108</v>
          </cell>
          <cell r="CH298">
            <v>1</v>
          </cell>
          <cell r="CI298">
            <v>4011466</v>
          </cell>
          <cell r="CJ298">
            <v>130.81939260452867</v>
          </cell>
          <cell r="CK298">
            <v>18.557777396093226</v>
          </cell>
          <cell r="CL298">
            <v>4011466</v>
          </cell>
          <cell r="CM298">
            <v>135.10461380032868</v>
          </cell>
          <cell r="CN298">
            <v>19.165670304487026</v>
          </cell>
        </row>
        <row r="299">
          <cell r="B299">
            <v>5213485</v>
          </cell>
          <cell r="C299" t="str">
            <v>SICRO</v>
          </cell>
          <cell r="D299" t="str">
            <v>Fornecimento e implantação de placa em alumínio, espessura de 1,5 mm, modulada, aérea - película retrorrefletiva tipo III + X</v>
          </cell>
          <cell r="E299" t="str">
            <v>m²</v>
          </cell>
          <cell r="F299">
            <v>653.12987810000004</v>
          </cell>
          <cell r="G299">
            <v>653.12987810000004</v>
          </cell>
          <cell r="H299">
            <v>653.12987810000004</v>
          </cell>
          <cell r="I299">
            <v>0</v>
          </cell>
          <cell r="J299">
            <v>650.07727920000002</v>
          </cell>
          <cell r="K299">
            <v>650.07727920000002</v>
          </cell>
          <cell r="L299">
            <v>650.07727920000002</v>
          </cell>
          <cell r="W299" t="str">
            <v>M0072</v>
          </cell>
          <cell r="X299" t="str">
            <v>Arame liso galvanizado 14 BWG</v>
          </cell>
          <cell r="Y299" t="str">
            <v>kg</v>
          </cell>
          <cell r="Z299">
            <v>8.5451999999999995</v>
          </cell>
          <cell r="AA299">
            <v>0</v>
          </cell>
          <cell r="BC299" t="str">
            <v>E9535</v>
          </cell>
          <cell r="BD299" t="str">
            <v>Serra circular com bancada - D = 30 cm - 4 kW</v>
          </cell>
          <cell r="BE299" t="str">
            <v>h</v>
          </cell>
          <cell r="BF299">
            <v>21.716999999999999</v>
          </cell>
          <cell r="BG299">
            <v>21.552499999999998</v>
          </cell>
          <cell r="CC299">
            <v>0</v>
          </cell>
          <cell r="CD299" t="str">
            <v>Fornecimento de Material Betuminoso c/ polímero SBS</v>
          </cell>
          <cell r="CE299" t="str">
            <v>t</v>
          </cell>
          <cell r="CF299" t="str">
            <v>0,057732 t</v>
          </cell>
          <cell r="CG299">
            <v>6.2350560000000001E-3</v>
          </cell>
          <cell r="CH299">
            <v>1</v>
          </cell>
          <cell r="CI299" t="str">
            <v>CPU10</v>
          </cell>
          <cell r="CJ299">
            <v>4481.4349761078774</v>
          </cell>
          <cell r="CK299">
            <v>27.941998036391279</v>
          </cell>
          <cell r="CL299" t="str">
            <v>CPU10-1</v>
          </cell>
          <cell r="CM299">
            <v>4614.4401264709131</v>
          </cell>
          <cell r="CN299">
            <v>28.771292597193227</v>
          </cell>
        </row>
        <row r="300">
          <cell r="B300">
            <v>5216111</v>
          </cell>
          <cell r="C300" t="str">
            <v>SICRO</v>
          </cell>
          <cell r="D300" t="str">
            <v>Fornecimento e implantação de suporte e travessa para placa de sinalização em madeira de lei tratada 8 x 8 cm</v>
          </cell>
          <cell r="E300" t="str">
            <v>un</v>
          </cell>
          <cell r="F300">
            <v>105.62545470799999</v>
          </cell>
          <cell r="G300">
            <v>105.62545470799999</v>
          </cell>
          <cell r="H300">
            <v>105.62545470799999</v>
          </cell>
          <cell r="I300">
            <v>0</v>
          </cell>
          <cell r="J300">
            <v>108.70639476199999</v>
          </cell>
          <cell r="K300">
            <v>108.70639476199999</v>
          </cell>
          <cell r="L300">
            <v>108.70639476199999</v>
          </cell>
          <cell r="W300">
            <v>4816129</v>
          </cell>
          <cell r="X300" t="str">
            <v xml:space="preserve">Fabricação de mourão de concreto esticador - seção quadrada de 15 cm - areia e brita comerciais </v>
          </cell>
          <cell r="Y300" t="str">
            <v>un</v>
          </cell>
          <cell r="Z300">
            <v>35.159999999999997</v>
          </cell>
          <cell r="AA300">
            <v>0</v>
          </cell>
          <cell r="BC300" t="str">
            <v>M0301</v>
          </cell>
          <cell r="BD300" t="str">
            <v>Pontalete para escoramento - D = 10 cm</v>
          </cell>
          <cell r="BE300" t="str">
            <v>m</v>
          </cell>
          <cell r="BF300">
            <v>8.3409999999999993</v>
          </cell>
          <cell r="BG300">
            <v>0</v>
          </cell>
          <cell r="CC300">
            <v>0</v>
          </cell>
          <cell r="CD300" t="str">
            <v>Pintura de ligação</v>
          </cell>
          <cell r="CE300" t="str">
            <v>m²</v>
          </cell>
          <cell r="CF300">
            <v>1</v>
          </cell>
          <cell r="CG300">
            <v>1</v>
          </cell>
          <cell r="CH300">
            <v>1</v>
          </cell>
          <cell r="CI300">
            <v>4011353</v>
          </cell>
          <cell r="CJ300">
            <v>0.18392808219669335</v>
          </cell>
          <cell r="CK300">
            <v>0.24158953596535671</v>
          </cell>
          <cell r="CL300">
            <v>4011353</v>
          </cell>
          <cell r="CM300">
            <v>0.18912484066666665</v>
          </cell>
          <cell r="CN300">
            <v>0.24841547821566662</v>
          </cell>
        </row>
        <row r="301">
          <cell r="B301">
            <v>5213352</v>
          </cell>
          <cell r="C301" t="str">
            <v>SICRO</v>
          </cell>
          <cell r="D301" t="str">
            <v>Fornecimento e implantação de suporte polimérico ecológico maciço quadrado de 8 cm para placa de sinalização</v>
          </cell>
          <cell r="E301" t="str">
            <v>un</v>
          </cell>
          <cell r="F301">
            <v>539.84241672399992</v>
          </cell>
          <cell r="G301">
            <v>539.84241672399992</v>
          </cell>
          <cell r="H301">
            <v>539.84241672399992</v>
          </cell>
          <cell r="I301">
            <v>0</v>
          </cell>
          <cell r="J301">
            <v>555.80319499066684</v>
          </cell>
          <cell r="K301">
            <v>555.80319499066684</v>
          </cell>
          <cell r="L301">
            <v>555.80319499066684</v>
          </cell>
          <cell r="W301">
            <v>4816131</v>
          </cell>
          <cell r="X301" t="str">
            <v xml:space="preserve">Fabricação de mourão de concreto suporte - seção quadrada de 11 cm - areia e brita comerciais </v>
          </cell>
          <cell r="Y301" t="str">
            <v>un</v>
          </cell>
          <cell r="Z301">
            <v>22.16</v>
          </cell>
          <cell r="AA301">
            <v>0</v>
          </cell>
          <cell r="BC301" t="str">
            <v>M1850</v>
          </cell>
          <cell r="BD301" t="str">
            <v>Pranchão de 7,5 x 30 cm</v>
          </cell>
          <cell r="BE301" t="str">
            <v>m</v>
          </cell>
          <cell r="BF301">
            <v>51.215899999999998</v>
          </cell>
          <cell r="BG301">
            <v>0</v>
          </cell>
          <cell r="CC301">
            <v>0</v>
          </cell>
          <cell r="CD301" t="str">
            <v>Fornecimento de emulsão RR-1C</v>
          </cell>
          <cell r="CE301" t="str">
            <v>t</v>
          </cell>
          <cell r="CF301" t="str">
            <v>0,00045 t</v>
          </cell>
          <cell r="CG301">
            <v>4.4999999999999999E-4</v>
          </cell>
          <cell r="CH301">
            <v>1</v>
          </cell>
          <cell r="CI301" t="str">
            <v>CPU04</v>
          </cell>
          <cell r="CJ301">
            <v>2511.8507594331254</v>
          </cell>
          <cell r="CK301">
            <v>1.1303328417449063</v>
          </cell>
          <cell r="CL301" t="str">
            <v>CPU04-1</v>
          </cell>
          <cell r="CM301">
            <v>2535.6603093736671</v>
          </cell>
          <cell r="CN301">
            <v>1.1410471392181503</v>
          </cell>
        </row>
        <row r="302">
          <cell r="B302">
            <v>5213865</v>
          </cell>
          <cell r="C302" t="str">
            <v>SICRO</v>
          </cell>
          <cell r="D302" t="str">
            <v>Fornecimento e implantação de suporte metálico galvanizado para placa de advertência - lado de 1,00 m</v>
          </cell>
          <cell r="E302" t="str">
            <v>un</v>
          </cell>
          <cell r="F302">
            <v>293.07070164939461</v>
          </cell>
          <cell r="G302">
            <v>293.07070164939461</v>
          </cell>
          <cell r="H302">
            <v>293.07070164939461</v>
          </cell>
          <cell r="I302">
            <v>0</v>
          </cell>
          <cell r="J302">
            <v>295.90244764689737</v>
          </cell>
          <cell r="K302">
            <v>295.90244764689737</v>
          </cell>
          <cell r="L302">
            <v>295.90244764689737</v>
          </cell>
          <cell r="W302" t="str">
            <v>E9592</v>
          </cell>
          <cell r="X302" t="str">
            <v>Caminhão carroceria com capacidade de 15 t - 188 kW</v>
          </cell>
          <cell r="Y302" t="str">
            <v>h</v>
          </cell>
          <cell r="Z302">
            <v>166.5402</v>
          </cell>
          <cell r="AA302">
            <v>48.074300000000001</v>
          </cell>
          <cell r="BC302" t="str">
            <v>M1205</v>
          </cell>
          <cell r="BD302" t="str">
            <v>Prego de ferro</v>
          </cell>
          <cell r="BE302" t="str">
            <v>kg</v>
          </cell>
          <cell r="BF302">
            <v>5.8066000000000004</v>
          </cell>
          <cell r="BG302">
            <v>0</v>
          </cell>
          <cell r="CC302">
            <v>0</v>
          </cell>
          <cell r="CD302" t="str">
            <v>Pintura de faixa - tinta base acrílica - espessura de 0,6 mm</v>
          </cell>
          <cell r="CE302" t="str">
            <v>m²</v>
          </cell>
          <cell r="CF302" t="str">
            <v>2 faixas cont. + 1 faixa não cont.</v>
          </cell>
          <cell r="CG302">
            <v>4.4871794871794872E-2</v>
          </cell>
          <cell r="CH302">
            <v>1</v>
          </cell>
          <cell r="CI302">
            <v>5213401</v>
          </cell>
          <cell r="CJ302">
            <v>20.390807290896916</v>
          </cell>
          <cell r="CK302">
            <v>1.2018158822830236</v>
          </cell>
          <cell r="CL302">
            <v>5213401</v>
          </cell>
          <cell r="CM302">
            <v>22.71825438768407</v>
          </cell>
          <cell r="CN302">
            <v>1.3389935254330845</v>
          </cell>
        </row>
        <row r="303">
          <cell r="B303">
            <v>5214011</v>
          </cell>
          <cell r="C303" t="str">
            <v>SICRO</v>
          </cell>
          <cell r="D303" t="str">
            <v>Manutenção/recomposição de sinalização - pintura de faixa com tinta acrílica emulsionada em água - espessura de 0,3 mm</v>
          </cell>
          <cell r="E303" t="str">
            <v>m²</v>
          </cell>
          <cell r="F303">
            <v>9.4184669287847047</v>
          </cell>
          <cell r="G303">
            <v>9.4184669287847047</v>
          </cell>
          <cell r="H303">
            <v>9.4184669287847047</v>
          </cell>
          <cell r="I303">
            <v>0</v>
          </cell>
          <cell r="J303">
            <v>9.5694620354112097</v>
          </cell>
          <cell r="K303">
            <v>9.5694620354112097</v>
          </cell>
          <cell r="L303">
            <v>9.5694620354112097</v>
          </cell>
          <cell r="W303" t="str">
            <v>M0075</v>
          </cell>
          <cell r="X303" t="str">
            <v>Arame recozido 18 BWG</v>
          </cell>
          <cell r="Y303" t="str">
            <v>kg</v>
          </cell>
          <cell r="Z303">
            <v>4.2893999999999997</v>
          </cell>
          <cell r="AA303">
            <v>0</v>
          </cell>
          <cell r="BC303" t="str">
            <v>M0290</v>
          </cell>
          <cell r="BD303" t="str">
            <v>Tábua de 2,5 x 10 cm</v>
          </cell>
          <cell r="BE303" t="str">
            <v>m</v>
          </cell>
          <cell r="BF303">
            <v>2.74</v>
          </cell>
          <cell r="BG303">
            <v>0</v>
          </cell>
          <cell r="CC303">
            <v>0</v>
          </cell>
          <cell r="CD303" t="str">
            <v>Tacha refletiva monodirecional - fornecimento e colocação</v>
          </cell>
          <cell r="CE303" t="str">
            <v>un</v>
          </cell>
          <cell r="CF303" t="str">
            <v>3 / 16m / 7,8m largura</v>
          </cell>
          <cell r="CG303">
            <v>2.403846153846154E-2</v>
          </cell>
          <cell r="CH303">
            <v>1</v>
          </cell>
          <cell r="CI303">
            <v>5213359</v>
          </cell>
          <cell r="CJ303">
            <v>12.189996472111552</v>
          </cell>
          <cell r="CK303">
            <v>0.38489327803169532</v>
          </cell>
          <cell r="CL303">
            <v>5213359</v>
          </cell>
          <cell r="CM303">
            <v>14.739324009960159</v>
          </cell>
          <cell r="CN303">
            <v>0.46538706940102564</v>
          </cell>
        </row>
        <row r="304">
          <cell r="B304">
            <v>5213401</v>
          </cell>
          <cell r="C304" t="str">
            <v>SICRO</v>
          </cell>
          <cell r="D304" t="str">
            <v>Pintura de faixa - tinta base acrílica - espessura de 0,6 mm</v>
          </cell>
          <cell r="E304" t="str">
            <v>m²</v>
          </cell>
          <cell r="F304">
            <v>20.390807290896916</v>
          </cell>
          <cell r="G304">
            <v>20.390807290896916</v>
          </cell>
          <cell r="H304">
            <v>20.390807290896916</v>
          </cell>
          <cell r="I304">
            <v>0</v>
          </cell>
          <cell r="J304">
            <v>22.71825438768407</v>
          </cell>
          <cell r="K304">
            <v>22.71825438768407</v>
          </cell>
          <cell r="L304">
            <v>22.71825438768407</v>
          </cell>
          <cell r="W304" t="str">
            <v>E9028</v>
          </cell>
          <cell r="X304" t="str">
            <v>Lavadora profissional - 5,2 kW</v>
          </cell>
          <cell r="Y304" t="str">
            <v>h</v>
          </cell>
          <cell r="Z304">
            <v>32.863700000000001</v>
          </cell>
          <cell r="AA304">
            <v>27.984400000000001</v>
          </cell>
          <cell r="BC304" t="str">
            <v>M0286</v>
          </cell>
          <cell r="BD304" t="str">
            <v>Tábua de 2,5 x 30 cm</v>
          </cell>
          <cell r="BE304" t="str">
            <v>m</v>
          </cell>
          <cell r="BF304">
            <v>7.0357000000000003</v>
          </cell>
          <cell r="BG304">
            <v>0</v>
          </cell>
          <cell r="CC304">
            <v>0</v>
          </cell>
          <cell r="CD304" t="str">
            <v>Tacha refletiva metálica com dois pinos - bidirecional - fornecimento e colocação</v>
          </cell>
          <cell r="CE304" t="str">
            <v>un</v>
          </cell>
          <cell r="CF304" t="str">
            <v>não aplicada</v>
          </cell>
          <cell r="CG304">
            <v>0</v>
          </cell>
          <cell r="CH304">
            <v>1</v>
          </cell>
          <cell r="CI304">
            <v>5213395</v>
          </cell>
          <cell r="CJ304">
            <v>32.534966247709477</v>
          </cell>
          <cell r="CK304">
            <v>0</v>
          </cell>
          <cell r="CL304">
            <v>5213395</v>
          </cell>
          <cell r="CM304">
            <v>34.530034902548728</v>
          </cell>
          <cell r="CN304">
            <v>0</v>
          </cell>
        </row>
        <row r="305">
          <cell r="B305">
            <v>5213410</v>
          </cell>
          <cell r="C305" t="str">
            <v>SICRO</v>
          </cell>
          <cell r="D305" t="str">
            <v>Pintura de faixa - termoplástico em alto relevo tipo I - relevo duplo - base</v>
          </cell>
          <cell r="E305" t="str">
            <v>m²</v>
          </cell>
          <cell r="F305">
            <v>99.538003980052991</v>
          </cell>
          <cell r="G305">
            <v>99.538003980052991</v>
          </cell>
          <cell r="H305">
            <v>99.538003980052991</v>
          </cell>
          <cell r="I305">
            <v>0</v>
          </cell>
          <cell r="J305">
            <v>115.19732646755983</v>
          </cell>
          <cell r="K305">
            <v>115.19732646755983</v>
          </cell>
          <cell r="L305">
            <v>115.19732646755983</v>
          </cell>
          <cell r="W305">
            <v>3806411</v>
          </cell>
          <cell r="X305" t="str">
            <v xml:space="preserve">Plataforma mecanizada de inspeção sob pontes com capacidade de 600 kg e comprimento da plataforma sob a ponte de 14 m </v>
          </cell>
          <cell r="Y305" t="str">
            <v>h</v>
          </cell>
          <cell r="Z305">
            <v>342.92</v>
          </cell>
          <cell r="AA305">
            <v>0</v>
          </cell>
          <cell r="BC305" t="str">
            <v>E9645</v>
          </cell>
          <cell r="BD305" t="str">
            <v>Caminhão aplicador de material termoplástico - 136 kW</v>
          </cell>
          <cell r="BE305" t="str">
            <v>h</v>
          </cell>
          <cell r="BF305">
            <v>360.01240000000001</v>
          </cell>
          <cell r="BG305">
            <v>176.36449999999999</v>
          </cell>
          <cell r="CC305" t="str">
            <v>R5</v>
          </cell>
          <cell r="CD305" t="str">
            <v xml:space="preserve"> REFORÇO: (5,0cm) CBUQ C/ POLÍMERO</v>
          </cell>
          <cell r="CE305">
            <v>0</v>
          </cell>
          <cell r="CF305">
            <v>0</v>
          </cell>
          <cell r="CG305">
            <v>0</v>
          </cell>
          <cell r="CH305">
            <v>0</v>
          </cell>
          <cell r="CI305">
            <v>0</v>
          </cell>
          <cell r="CJ305">
            <v>0</v>
          </cell>
          <cell r="CK305">
            <v>54.625048685229984</v>
          </cell>
          <cell r="CL305">
            <v>0</v>
          </cell>
          <cell r="CM305">
            <v>0</v>
          </cell>
          <cell r="CN305">
            <v>56.457135325245979</v>
          </cell>
        </row>
        <row r="306">
          <cell r="B306">
            <v>5213712</v>
          </cell>
          <cell r="C306" t="str">
            <v>SICRO</v>
          </cell>
          <cell r="D306" t="str">
            <v>Pórtico metálico com vão de 9,2 m, vento de 40 m/s, área de exposição de até 13,8 m², tensão admissível solo &gt; 200 kN/m² - areia e brita comerciais</v>
          </cell>
          <cell r="E306" t="str">
            <v>un</v>
          </cell>
          <cell r="F306">
            <v>38762.991374999998</v>
          </cell>
          <cell r="G306">
            <v>38762.991374999998</v>
          </cell>
          <cell r="H306">
            <v>38762.991374999998</v>
          </cell>
          <cell r="I306">
            <v>0</v>
          </cell>
          <cell r="J306">
            <v>38777.2408</v>
          </cell>
          <cell r="K306">
            <v>38777.2408</v>
          </cell>
          <cell r="L306">
            <v>38777.2408</v>
          </cell>
          <cell r="W306" t="str">
            <v>E9011</v>
          </cell>
          <cell r="X306" t="str">
            <v>Carro manual modelo plataforma de 200 x 80 cm com capacidade de 800 kg</v>
          </cell>
          <cell r="Y306" t="str">
            <v>h</v>
          </cell>
          <cell r="Z306">
            <v>0.32919999999999999</v>
          </cell>
          <cell r="AA306">
            <v>0.22500000000000001</v>
          </cell>
          <cell r="BC306" t="str">
            <v>M1585</v>
          </cell>
          <cell r="BD306" t="str">
            <v>Massa termoplástica para aplicação em alto relevo</v>
          </cell>
          <cell r="BE306" t="str">
            <v>kg</v>
          </cell>
          <cell r="BF306">
            <v>7.56</v>
          </cell>
          <cell r="BG306">
            <v>0</v>
          </cell>
          <cell r="CC306" t="str">
            <v>(m²)</v>
          </cell>
          <cell r="CD306" t="str">
            <v>Concreto asfáltico com asfalto polímero - faixa C - areia e brita comerciais</v>
          </cell>
          <cell r="CE306" t="str">
            <v>t</v>
          </cell>
          <cell r="CF306">
            <v>5</v>
          </cell>
          <cell r="CG306">
            <v>0.12</v>
          </cell>
          <cell r="CH306">
            <v>1</v>
          </cell>
          <cell r="CI306">
            <v>4011466</v>
          </cell>
          <cell r="CJ306">
            <v>130.81939260452867</v>
          </cell>
          <cell r="CK306">
            <v>20.619752662325809</v>
          </cell>
          <cell r="CL306">
            <v>4011466</v>
          </cell>
          <cell r="CM306">
            <v>135.10461380032868</v>
          </cell>
          <cell r="CN306">
            <v>21.295189227207803</v>
          </cell>
        </row>
        <row r="307">
          <cell r="B307">
            <v>5213631</v>
          </cell>
          <cell r="C307" t="str">
            <v>SICRO</v>
          </cell>
          <cell r="D307" t="str">
            <v>Semi-pórtico duplo metálico com vão de 2 x 2,7 m, vento de 35 m/s, área de exposição de até 2 x 4,05 m², tensão admissível solo</v>
          </cell>
          <cell r="E307" t="str">
            <v>un</v>
          </cell>
          <cell r="F307">
            <v>28201.0272152</v>
          </cell>
          <cell r="G307">
            <v>28201.0272152</v>
          </cell>
          <cell r="H307">
            <v>28201.0272152</v>
          </cell>
          <cell r="I307">
            <v>0</v>
          </cell>
          <cell r="J307">
            <v>28285.605330200004</v>
          </cell>
          <cell r="K307">
            <v>28285.605330200004</v>
          </cell>
          <cell r="L307">
            <v>28285.605330200004</v>
          </cell>
          <cell r="W307" t="str">
            <v>E9668</v>
          </cell>
          <cell r="X307" t="str">
            <v>Fábrica de pré-moldado de concreto para guarda corpo - 2,2 kW</v>
          </cell>
          <cell r="Y307" t="str">
            <v>h</v>
          </cell>
          <cell r="Z307">
            <v>2.7408000000000001</v>
          </cell>
          <cell r="AA307">
            <v>1.7</v>
          </cell>
          <cell r="BC307" t="str">
            <v>M0284</v>
          </cell>
          <cell r="BD307" t="str">
            <v>Caibro de pinho de 7,5 x 7,5 cm</v>
          </cell>
          <cell r="BE307" t="str">
            <v>m</v>
          </cell>
          <cell r="BF307">
            <v>19.145499999999998</v>
          </cell>
          <cell r="BG307">
            <v>0</v>
          </cell>
          <cell r="CC307">
            <v>0</v>
          </cell>
          <cell r="CD307" t="str">
            <v>Fornecimento de Material Betuminoso c/ polímero SBS</v>
          </cell>
          <cell r="CE307" t="str">
            <v>t</v>
          </cell>
          <cell r="CF307" t="str">
            <v>0,057732 t</v>
          </cell>
          <cell r="CG307">
            <v>6.9278399999999993E-3</v>
          </cell>
          <cell r="CH307">
            <v>1</v>
          </cell>
          <cell r="CI307" t="str">
            <v>CPU10</v>
          </cell>
          <cell r="CJ307">
            <v>4481.4349761078774</v>
          </cell>
          <cell r="CK307">
            <v>31.046664484879194</v>
          </cell>
          <cell r="CL307" t="str">
            <v>CPU10-1</v>
          </cell>
          <cell r="CM307">
            <v>4614.4401264709131</v>
          </cell>
          <cell r="CN307">
            <v>31.968102885770247</v>
          </cell>
        </row>
        <row r="308">
          <cell r="B308">
            <v>5213711</v>
          </cell>
          <cell r="C308" t="str">
            <v>SICRO</v>
          </cell>
          <cell r="D308" t="str">
            <v>Semi-pórtico metálico com vão de 8,3 m, vento de 40 m/s, área de exposição de até 12,45 m², tensão admissível solo &gt; 200</v>
          </cell>
          <cell r="E308" t="str">
            <v>un</v>
          </cell>
          <cell r="F308">
            <v>32818.480642499999</v>
          </cell>
          <cell r="G308">
            <v>32818.480642499999</v>
          </cell>
          <cell r="H308">
            <v>32818.480642499999</v>
          </cell>
          <cell r="I308">
            <v>0</v>
          </cell>
          <cell r="J308">
            <v>32863.49108</v>
          </cell>
          <cell r="K308">
            <v>32863.49108</v>
          </cell>
          <cell r="L308">
            <v>32863.49108</v>
          </cell>
          <cell r="W308" t="str">
            <v>P9805</v>
          </cell>
          <cell r="X308" t="str">
            <v>Armador</v>
          </cell>
          <cell r="Y308" t="str">
            <v>h</v>
          </cell>
          <cell r="Z308">
            <v>26.277799999999999</v>
          </cell>
          <cell r="AA308">
            <v>0</v>
          </cell>
          <cell r="BC308" t="str">
            <v>M0443</v>
          </cell>
          <cell r="BD308" t="str">
            <v>Compensado plastificado de 12 mm</v>
          </cell>
          <cell r="BE308" t="str">
            <v>m²</v>
          </cell>
          <cell r="BF308">
            <v>25.210699999999999</v>
          </cell>
          <cell r="BG308">
            <v>0</v>
          </cell>
          <cell r="CC308">
            <v>0</v>
          </cell>
          <cell r="CD308" t="str">
            <v>Pintura de ligação</v>
          </cell>
          <cell r="CE308" t="str">
            <v>m²</v>
          </cell>
          <cell r="CF308">
            <v>1</v>
          </cell>
          <cell r="CG308">
            <v>1</v>
          </cell>
          <cell r="CH308">
            <v>1</v>
          </cell>
          <cell r="CI308">
            <v>4011353</v>
          </cell>
          <cell r="CJ308">
            <v>0.18392808219669335</v>
          </cell>
          <cell r="CK308">
            <v>0.24158953596535671</v>
          </cell>
          <cell r="CL308">
            <v>4011353</v>
          </cell>
          <cell r="CM308">
            <v>0.18912484066666665</v>
          </cell>
          <cell r="CN308">
            <v>0.24841547821566662</v>
          </cell>
        </row>
        <row r="309">
          <cell r="B309">
            <v>5213395</v>
          </cell>
          <cell r="C309" t="str">
            <v>SICRO</v>
          </cell>
          <cell r="D309" t="str">
            <v>Tacha refletiva metálica com dois pinos - bidirecional - fornecimento e colocação</v>
          </cell>
          <cell r="E309" t="str">
            <v>un</v>
          </cell>
          <cell r="F309">
            <v>32.534966247709477</v>
          </cell>
          <cell r="G309">
            <v>32.534966247709477</v>
          </cell>
          <cell r="H309">
            <v>32.534966247709477</v>
          </cell>
          <cell r="I309">
            <v>0</v>
          </cell>
          <cell r="J309">
            <v>34.530034902548728</v>
          </cell>
          <cell r="K309">
            <v>34.530034902548728</v>
          </cell>
          <cell r="L309">
            <v>34.530034902548728</v>
          </cell>
          <cell r="W309" t="str">
            <v>M0345</v>
          </cell>
          <cell r="X309" t="str">
            <v>Cal hidratada</v>
          </cell>
          <cell r="Y309" t="str">
            <v>kg</v>
          </cell>
          <cell r="Z309">
            <v>0.46139999999999998</v>
          </cell>
          <cell r="AA309">
            <v>0</v>
          </cell>
          <cell r="BC309" t="str">
            <v>M0560</v>
          </cell>
          <cell r="BD309" t="str">
            <v>Desmoldante para formas</v>
          </cell>
          <cell r="BE309" t="str">
            <v>l</v>
          </cell>
          <cell r="BF309">
            <v>8.1301000000000005</v>
          </cell>
          <cell r="BG309">
            <v>0</v>
          </cell>
          <cell r="CC309">
            <v>0</v>
          </cell>
          <cell r="CD309" t="str">
            <v>Fornecimento de emulsão RR-1C</v>
          </cell>
          <cell r="CE309" t="str">
            <v>t</v>
          </cell>
          <cell r="CF309" t="str">
            <v>0,00045 t</v>
          </cell>
          <cell r="CG309">
            <v>4.4999999999999999E-4</v>
          </cell>
          <cell r="CH309">
            <v>1</v>
          </cell>
          <cell r="CI309" t="str">
            <v>CPU04</v>
          </cell>
          <cell r="CJ309">
            <v>2511.8507594331254</v>
          </cell>
          <cell r="CK309">
            <v>1.1303328417449063</v>
          </cell>
          <cell r="CL309" t="str">
            <v>CPU04-1</v>
          </cell>
          <cell r="CM309">
            <v>2535.6603093736671</v>
          </cell>
          <cell r="CN309">
            <v>1.1410471392181503</v>
          </cell>
        </row>
        <row r="310">
          <cell r="B310">
            <v>5213393</v>
          </cell>
          <cell r="C310" t="str">
            <v>SICRO</v>
          </cell>
          <cell r="D310" t="str">
            <v>Tacha refletiva metálica com dois pinos - monodirecional - fornecimento e colocação</v>
          </cell>
          <cell r="E310" t="str">
            <v>un</v>
          </cell>
          <cell r="F310">
            <v>22.072466247709478</v>
          </cell>
          <cell r="G310">
            <v>22.072466247709478</v>
          </cell>
          <cell r="H310">
            <v>22.072466247709478</v>
          </cell>
          <cell r="I310">
            <v>0</v>
          </cell>
          <cell r="J310">
            <v>22.178634902548726</v>
          </cell>
          <cell r="K310">
            <v>22.178634902548726</v>
          </cell>
          <cell r="L310">
            <v>22.178634902548726</v>
          </cell>
          <cell r="W310" t="str">
            <v>M0729</v>
          </cell>
          <cell r="X310" t="str">
            <v>Fixa cal tipo Globo Fix ou similar</v>
          </cell>
          <cell r="Y310" t="str">
            <v>l</v>
          </cell>
          <cell r="Z310">
            <v>7.2503000000000002</v>
          </cell>
          <cell r="AA310">
            <v>0</v>
          </cell>
          <cell r="BC310" t="str">
            <v>M0310</v>
          </cell>
          <cell r="BD310" t="str">
            <v>Peça de madeira de 2,5 x 7,5 cm</v>
          </cell>
          <cell r="BE310" t="str">
            <v>m</v>
          </cell>
          <cell r="BF310">
            <v>2.7349999999999999</v>
          </cell>
          <cell r="BG310">
            <v>0</v>
          </cell>
          <cell r="CC310">
            <v>0</v>
          </cell>
          <cell r="CD310" t="str">
            <v>Pintura de faixa - tinta base acrílica - espessura de 0,6 mm</v>
          </cell>
          <cell r="CE310" t="str">
            <v>m²</v>
          </cell>
          <cell r="CF310" t="str">
            <v>2 faixas cont. + 1 faixa não cont.</v>
          </cell>
          <cell r="CG310">
            <v>4.4871794871794872E-2</v>
          </cell>
          <cell r="CH310">
            <v>1</v>
          </cell>
          <cell r="CI310">
            <v>5213401</v>
          </cell>
          <cell r="CJ310">
            <v>20.390807290896916</v>
          </cell>
          <cell r="CK310">
            <v>1.2018158822830236</v>
          </cell>
          <cell r="CL310">
            <v>5213401</v>
          </cell>
          <cell r="CM310">
            <v>22.71825438768407</v>
          </cell>
          <cell r="CN310">
            <v>1.3389935254330845</v>
          </cell>
        </row>
        <row r="311">
          <cell r="B311">
            <v>5213359</v>
          </cell>
          <cell r="C311" t="str">
            <v>SICRO</v>
          </cell>
          <cell r="D311" t="str">
            <v>Tacha refletiva monodirecional - fornecimento e colocação</v>
          </cell>
          <cell r="E311" t="str">
            <v>un</v>
          </cell>
          <cell r="F311">
            <v>12.189996472111552</v>
          </cell>
          <cell r="G311">
            <v>12.189996472111552</v>
          </cell>
          <cell r="H311">
            <v>12.189996472111552</v>
          </cell>
          <cell r="I311">
            <v>0</v>
          </cell>
          <cell r="J311">
            <v>14.739324009960159</v>
          </cell>
          <cell r="K311">
            <v>14.739324009960159</v>
          </cell>
          <cell r="L311">
            <v>14.739324009960159</v>
          </cell>
          <cell r="W311" t="str">
            <v>M1976</v>
          </cell>
          <cell r="X311" t="str">
            <v>Terminal aéreo de defensa metálica (tipo A - NBR 6.971)</v>
          </cell>
          <cell r="Y311" t="str">
            <v>un</v>
          </cell>
          <cell r="Z311">
            <v>213</v>
          </cell>
          <cell r="AA311">
            <v>0</v>
          </cell>
          <cell r="BC311" t="str">
            <v>M0004</v>
          </cell>
          <cell r="BD311" t="str">
            <v>Aço CA 50</v>
          </cell>
          <cell r="BE311" t="str">
            <v>kg</v>
          </cell>
          <cell r="BF311">
            <v>3.5171999999999999</v>
          </cell>
          <cell r="BG311">
            <v>0</v>
          </cell>
          <cell r="CC311">
            <v>0</v>
          </cell>
          <cell r="CD311" t="str">
            <v>Tacha refletiva monodirecional - fornecimento e colocação</v>
          </cell>
          <cell r="CE311" t="str">
            <v>un</v>
          </cell>
          <cell r="CF311" t="str">
            <v>3 / 16m / 7,8m largura</v>
          </cell>
          <cell r="CG311">
            <v>2.403846153846154E-2</v>
          </cell>
          <cell r="CH311">
            <v>1</v>
          </cell>
          <cell r="CI311">
            <v>5213359</v>
          </cell>
          <cell r="CJ311">
            <v>12.189996472111552</v>
          </cell>
          <cell r="CK311">
            <v>0.38489327803169532</v>
          </cell>
          <cell r="CL311">
            <v>5213359</v>
          </cell>
          <cell r="CM311">
            <v>14.739324009960159</v>
          </cell>
          <cell r="CN311">
            <v>0.46538706940102564</v>
          </cell>
        </row>
        <row r="312">
          <cell r="B312">
            <v>5213362</v>
          </cell>
          <cell r="C312" t="str">
            <v>SICRO</v>
          </cell>
          <cell r="D312" t="str">
            <v>Tachão refletivo bidirecional - fornecimento e colocação</v>
          </cell>
          <cell r="E312" t="str">
            <v>un</v>
          </cell>
          <cell r="F312">
            <v>40.254442753725051</v>
          </cell>
          <cell r="G312">
            <v>40.254442753725051</v>
          </cell>
          <cell r="H312">
            <v>40.254442753725051</v>
          </cell>
          <cell r="I312">
            <v>0</v>
          </cell>
          <cell r="J312">
            <v>42.754799437728423</v>
          </cell>
          <cell r="K312">
            <v>42.754799437728423</v>
          </cell>
          <cell r="L312">
            <v>42.754799437728423</v>
          </cell>
          <cell r="W312" t="str">
            <v>M0048</v>
          </cell>
          <cell r="X312" t="str">
            <v>Balizador cônico refletivo em polietileno semi flexível de 114 x 11 x 40 cm</v>
          </cell>
          <cell r="Y312" t="str">
            <v>un</v>
          </cell>
          <cell r="Z312">
            <v>116.5397</v>
          </cell>
          <cell r="AA312">
            <v>0</v>
          </cell>
          <cell r="BC312" t="str">
            <v>E9519</v>
          </cell>
          <cell r="BD312" t="str">
            <v>Betoneira com motor a gasolina com capacidade de 600 l - 10 kW</v>
          </cell>
          <cell r="BE312" t="str">
            <v>h</v>
          </cell>
          <cell r="BF312">
            <v>31.004300000000001</v>
          </cell>
          <cell r="BG312">
            <v>22.8721</v>
          </cell>
          <cell r="CC312">
            <v>0</v>
          </cell>
          <cell r="CD312" t="str">
            <v>Tacha refletiva metálica com dois pinos - bidirecional - fornecimento e colocação</v>
          </cell>
          <cell r="CE312" t="str">
            <v>un</v>
          </cell>
          <cell r="CF312" t="str">
            <v>não aplicada</v>
          </cell>
          <cell r="CG312">
            <v>0</v>
          </cell>
          <cell r="CH312">
            <v>1</v>
          </cell>
          <cell r="CI312">
            <v>5213395</v>
          </cell>
          <cell r="CJ312">
            <v>32.534966247709477</v>
          </cell>
          <cell r="CK312">
            <v>0</v>
          </cell>
          <cell r="CL312">
            <v>5213395</v>
          </cell>
          <cell r="CM312">
            <v>34.530034902548728</v>
          </cell>
          <cell r="CN312">
            <v>0</v>
          </cell>
        </row>
        <row r="313">
          <cell r="B313">
            <v>5405978</v>
          </cell>
          <cell r="C313" t="str">
            <v>SICRO</v>
          </cell>
          <cell r="D313" t="str">
            <v>Aterro compactado em solo reforçado com fita metálica galvanizada - taxa 3,31 kg/m³ - material de jazida</v>
          </cell>
          <cell r="E313" t="str">
            <v>m³</v>
          </cell>
          <cell r="F313">
            <v>39.532394292595974</v>
          </cell>
          <cell r="G313">
            <v>39.532394292595974</v>
          </cell>
          <cell r="H313">
            <v>39.532394292595974</v>
          </cell>
          <cell r="I313">
            <v>0</v>
          </cell>
          <cell r="J313">
            <v>39.664775981533708</v>
          </cell>
          <cell r="K313">
            <v>39.664775981533708</v>
          </cell>
          <cell r="L313">
            <v>39.664775981533708</v>
          </cell>
          <cell r="W313" t="str">
            <v>M1966</v>
          </cell>
          <cell r="X313" t="str">
            <v>Defensa metálica maleável simples</v>
          </cell>
          <cell r="Y313" t="str">
            <v>un</v>
          </cell>
          <cell r="Z313">
            <v>1268</v>
          </cell>
          <cell r="AA313">
            <v>0</v>
          </cell>
          <cell r="BC313" t="str">
            <v>E9064</v>
          </cell>
          <cell r="BD313" t="str">
            <v>Transportador manual gerica com capacidade de 180 l</v>
          </cell>
          <cell r="BE313" t="str">
            <v>h</v>
          </cell>
          <cell r="BF313">
            <v>0.48730000000000001</v>
          </cell>
          <cell r="BG313">
            <v>0.33110000000000001</v>
          </cell>
          <cell r="CC313" t="str">
            <v>R5,5</v>
          </cell>
          <cell r="CD313" t="str">
            <v xml:space="preserve"> REFORÇO: (5,5cm) CBUQ C/ POLÍMERO</v>
          </cell>
          <cell r="CE313">
            <v>0</v>
          </cell>
          <cell r="CF313">
            <v>0</v>
          </cell>
          <cell r="CG313">
            <v>0</v>
          </cell>
          <cell r="CH313">
            <v>0</v>
          </cell>
          <cell r="CI313">
            <v>0</v>
          </cell>
          <cell r="CJ313">
            <v>0</v>
          </cell>
          <cell r="CK313">
            <v>59.79169039995049</v>
          </cell>
          <cell r="CL313">
            <v>0</v>
          </cell>
          <cell r="CM313">
            <v>0</v>
          </cell>
          <cell r="CN313">
            <v>61.783464536543789</v>
          </cell>
        </row>
        <row r="314">
          <cell r="B314">
            <v>5405970</v>
          </cell>
          <cell r="C314" t="str">
            <v>SICRO</v>
          </cell>
          <cell r="D314" t="str">
            <v>Fabricação de escama de concreto armado para solo reforçado com fita metálica - 2 a 5 chumbadores - areia e brita comerciais</v>
          </cell>
          <cell r="E314" t="str">
            <v>m³</v>
          </cell>
          <cell r="F314">
            <v>910.3936766320785</v>
          </cell>
          <cell r="G314">
            <v>910.3936766320785</v>
          </cell>
          <cell r="H314">
            <v>910.3936766320785</v>
          </cell>
          <cell r="I314">
            <v>0</v>
          </cell>
          <cell r="J314">
            <v>942.17207948751741</v>
          </cell>
          <cell r="K314">
            <v>942.17207948751741</v>
          </cell>
          <cell r="L314">
            <v>942.17207948751741</v>
          </cell>
          <cell r="W314" t="str">
            <v>M1971</v>
          </cell>
          <cell r="X314" t="str">
            <v>Módulo de transição de defensa metálica para barreira New Jersey</v>
          </cell>
          <cell r="Y314" t="str">
            <v>un</v>
          </cell>
          <cell r="Z314">
            <v>4480</v>
          </cell>
          <cell r="AA314">
            <v>0</v>
          </cell>
          <cell r="BC314" t="str">
            <v>M0082</v>
          </cell>
          <cell r="BD314" t="str">
            <v>Areia média lavada</v>
          </cell>
          <cell r="BE314" t="str">
            <v>m³</v>
          </cell>
          <cell r="BF314">
            <v>79.258899999999997</v>
          </cell>
          <cell r="BG314">
            <v>0</v>
          </cell>
          <cell r="CC314" t="str">
            <v>(m²)</v>
          </cell>
          <cell r="CD314" t="str">
            <v>Concreto asfáltico com asfalto polímero - faixa C - areia e brita comerciais</v>
          </cell>
          <cell r="CE314" t="str">
            <v>t</v>
          </cell>
          <cell r="CF314">
            <v>5.5</v>
          </cell>
          <cell r="CG314">
            <v>0.13200000000000001</v>
          </cell>
          <cell r="CH314">
            <v>1</v>
          </cell>
          <cell r="CI314">
            <v>4011466</v>
          </cell>
          <cell r="CJ314">
            <v>130.81939260452867</v>
          </cell>
          <cell r="CK314">
            <v>22.681727928558388</v>
          </cell>
          <cell r="CL314">
            <v>4011466</v>
          </cell>
          <cell r="CM314">
            <v>135.10461380032868</v>
          </cell>
          <cell r="CN314">
            <v>23.424708149928584</v>
          </cell>
        </row>
        <row r="315">
          <cell r="B315">
            <v>5405976</v>
          </cell>
          <cell r="C315" t="str">
            <v>SICRO</v>
          </cell>
          <cell r="D315" t="str">
            <v>Montagem das escamas de concreto armado em solo reforçado com fita metálica</v>
          </cell>
          <cell r="E315" t="str">
            <v>m²</v>
          </cell>
          <cell r="F315">
            <v>132.70877992000001</v>
          </cell>
          <cell r="G315">
            <v>132.70877992000001</v>
          </cell>
          <cell r="H315">
            <v>132.70877992000001</v>
          </cell>
          <cell r="I315">
            <v>0</v>
          </cell>
          <cell r="J315">
            <v>136.20912597333333</v>
          </cell>
          <cell r="K315">
            <v>136.20912597333333</v>
          </cell>
          <cell r="L315">
            <v>136.20912597333333</v>
          </cell>
          <cell r="W315" t="str">
            <v>M2036</v>
          </cell>
          <cell r="X315" t="str">
            <v>Tinta à base de resina acrílica emulsão em água</v>
          </cell>
          <cell r="Y315" t="str">
            <v>l</v>
          </cell>
          <cell r="Z315">
            <v>17.777699999999999</v>
          </cell>
          <cell r="AA315">
            <v>0</v>
          </cell>
          <cell r="BC315" t="str">
            <v>M0424</v>
          </cell>
          <cell r="BD315" t="str">
            <v>Cimento Portland CP II - 32</v>
          </cell>
          <cell r="BE315" t="str">
            <v>kg</v>
          </cell>
          <cell r="BF315">
            <v>0.39460000000000001</v>
          </cell>
          <cell r="BG315">
            <v>0</v>
          </cell>
          <cell r="CC315">
            <v>0</v>
          </cell>
          <cell r="CD315" t="str">
            <v>Fornecimento de Material Betuminoso c/ polímero SBS</v>
          </cell>
          <cell r="CE315" t="str">
            <v>t</v>
          </cell>
          <cell r="CF315" t="str">
            <v>0,057732 t</v>
          </cell>
          <cell r="CG315">
            <v>7.6206240000000003E-3</v>
          </cell>
          <cell r="CH315">
            <v>1</v>
          </cell>
          <cell r="CI315" t="str">
            <v>CPU10</v>
          </cell>
          <cell r="CJ315">
            <v>4481.4349761078774</v>
          </cell>
          <cell r="CK315">
            <v>34.15133093336712</v>
          </cell>
          <cell r="CL315" t="str">
            <v>CPU10-1</v>
          </cell>
          <cell r="CM315">
            <v>4614.4401264709131</v>
          </cell>
          <cell r="CN315">
            <v>35.164913174347276</v>
          </cell>
        </row>
        <row r="316">
          <cell r="B316">
            <v>5502978</v>
          </cell>
          <cell r="C316" t="str">
            <v>SICRO</v>
          </cell>
          <cell r="D316" t="str">
            <v>Compactação de aterros a 100% do Proctor normal</v>
          </cell>
          <cell r="E316" t="str">
            <v>m³</v>
          </cell>
          <cell r="F316">
            <v>2.927106839686207</v>
          </cell>
          <cell r="G316">
            <v>2.927106839686207</v>
          </cell>
          <cell r="H316">
            <v>2.927106839686207</v>
          </cell>
          <cell r="I316">
            <v>0</v>
          </cell>
          <cell r="J316">
            <v>2.9255757728894172</v>
          </cell>
          <cell r="K316">
            <v>2.9255757728894172</v>
          </cell>
          <cell r="L316">
            <v>2.9255757728894172</v>
          </cell>
          <cell r="W316" t="str">
            <v>M1349</v>
          </cell>
          <cell r="X316" t="str">
            <v>Tacha refletiva metálica monodirecional com dois pinos</v>
          </cell>
          <cell r="Y316" t="str">
            <v>un</v>
          </cell>
          <cell r="Z316">
            <v>15</v>
          </cell>
          <cell r="AA316">
            <v>0</v>
          </cell>
          <cell r="BC316" t="str">
            <v>E9010</v>
          </cell>
          <cell r="BD316" t="str">
            <v>Balança plataforma digital com mesa de 75 x 75 cm com capacidade de 500 kg</v>
          </cell>
          <cell r="BE316" t="str">
            <v>h</v>
          </cell>
          <cell r="BF316">
            <v>0.98580000000000001</v>
          </cell>
          <cell r="BG316">
            <v>0.66149999999999998</v>
          </cell>
          <cell r="CC316">
            <v>0</v>
          </cell>
          <cell r="CD316" t="str">
            <v>Pintura de ligação</v>
          </cell>
          <cell r="CE316" t="str">
            <v>m²</v>
          </cell>
          <cell r="CF316">
            <v>1</v>
          </cell>
          <cell r="CG316">
            <v>1</v>
          </cell>
          <cell r="CH316">
            <v>1</v>
          </cell>
          <cell r="CI316">
            <v>4011353</v>
          </cell>
          <cell r="CJ316">
            <v>0.18392808219669335</v>
          </cell>
          <cell r="CK316">
            <v>0.24158953596535671</v>
          </cell>
          <cell r="CL316">
            <v>4011353</v>
          </cell>
          <cell r="CM316">
            <v>0.18912484066666665</v>
          </cell>
          <cell r="CN316">
            <v>0.24841547821566662</v>
          </cell>
        </row>
        <row r="317">
          <cell r="B317">
            <v>5501700</v>
          </cell>
          <cell r="C317" t="str">
            <v>SICRO</v>
          </cell>
          <cell r="D317" t="str">
            <v>Desmatamento, destocamento, limpeza de área e estocagem do material de limpeza com árvores de diâmetro até 0,15 m</v>
          </cell>
          <cell r="E317" t="str">
            <v>m²</v>
          </cell>
          <cell r="F317">
            <v>0.40049421825231968</v>
          </cell>
          <cell r="G317">
            <v>0.40049421825231968</v>
          </cell>
          <cell r="H317">
            <v>0.40049421825231968</v>
          </cell>
          <cell r="I317">
            <v>0</v>
          </cell>
          <cell r="J317">
            <v>0.41446093477530815</v>
          </cell>
          <cell r="K317">
            <v>0.41446093477530815</v>
          </cell>
          <cell r="L317">
            <v>0.41446093477530815</v>
          </cell>
          <cell r="W317" t="str">
            <v>M2086</v>
          </cell>
          <cell r="X317" t="str">
            <v>Tachão refletivo bidirecional</v>
          </cell>
          <cell r="Y317" t="str">
            <v>un</v>
          </cell>
          <cell r="Z317">
            <v>31.886600000000001</v>
          </cell>
          <cell r="AA317">
            <v>0</v>
          </cell>
          <cell r="BC317" t="str">
            <v>M0536</v>
          </cell>
          <cell r="BD317" t="str">
            <v>Quadro tubular contraventado com acessórios de 1,0 x 1,0 x 1,2 m³ e capacidade de 6 t por poste</v>
          </cell>
          <cell r="BE317" t="str">
            <v>un</v>
          </cell>
          <cell r="BF317">
            <v>488.33330000000001</v>
          </cell>
          <cell r="BG317">
            <v>0</v>
          </cell>
          <cell r="CC317">
            <v>0</v>
          </cell>
          <cell r="CD317" t="str">
            <v>Fornecimento de emulsão RR-1C</v>
          </cell>
          <cell r="CE317" t="str">
            <v>t</v>
          </cell>
          <cell r="CF317" t="str">
            <v>0,00045 t</v>
          </cell>
          <cell r="CG317">
            <v>4.4999999999999999E-4</v>
          </cell>
          <cell r="CH317">
            <v>1</v>
          </cell>
          <cell r="CI317" t="str">
            <v>CPU04</v>
          </cell>
          <cell r="CJ317">
            <v>2511.8507594331254</v>
          </cell>
          <cell r="CK317">
            <v>1.1303328417449063</v>
          </cell>
          <cell r="CL317" t="str">
            <v>CPU04-1</v>
          </cell>
          <cell r="CM317">
            <v>2535.6603093736671</v>
          </cell>
          <cell r="CN317">
            <v>1.1410471392181503</v>
          </cell>
        </row>
        <row r="318">
          <cell r="B318">
            <v>5501701</v>
          </cell>
          <cell r="C318" t="str">
            <v>SICRO</v>
          </cell>
          <cell r="D318" t="str">
            <v>Destocamento de árvores com diâmetro de 0,15 a 0,30 m</v>
          </cell>
          <cell r="E318" t="str">
            <v>un</v>
          </cell>
          <cell r="F318">
            <v>22.400534889156628</v>
          </cell>
          <cell r="G318">
            <v>22.400534889156628</v>
          </cell>
          <cell r="H318">
            <v>22.400534889156628</v>
          </cell>
          <cell r="I318">
            <v>0</v>
          </cell>
          <cell r="J318">
            <v>22.633280108578315</v>
          </cell>
          <cell r="K318">
            <v>22.633280108578315</v>
          </cell>
          <cell r="L318">
            <v>22.633280108578315</v>
          </cell>
          <cell r="W318" t="str">
            <v>M0008</v>
          </cell>
          <cell r="X318" t="str">
            <v>Detergente</v>
          </cell>
          <cell r="Y318" t="str">
            <v>l</v>
          </cell>
          <cell r="Z318">
            <v>2.3824999999999998</v>
          </cell>
          <cell r="AA318">
            <v>0</v>
          </cell>
          <cell r="BC318" t="str">
            <v>E9647</v>
          </cell>
          <cell r="BD318" t="str">
            <v>Compactador manual com soquete vibratório - 4,1 kW</v>
          </cell>
          <cell r="BE318" t="str">
            <v>h</v>
          </cell>
          <cell r="BF318">
            <v>4.0711000000000004</v>
          </cell>
          <cell r="BG318">
            <v>0.64580000000000004</v>
          </cell>
          <cell r="CC318">
            <v>0</v>
          </cell>
          <cell r="CD318" t="str">
            <v>Pintura de faixa - tinta base acrílica - espessura de 0,6 mm</v>
          </cell>
          <cell r="CE318" t="str">
            <v>m²</v>
          </cell>
          <cell r="CF318" t="str">
            <v>2 faixas cont. + 1 faixa não cont.</v>
          </cell>
          <cell r="CG318">
            <v>4.4871794871794872E-2</v>
          </cell>
          <cell r="CH318">
            <v>1</v>
          </cell>
          <cell r="CI318">
            <v>5213401</v>
          </cell>
          <cell r="CJ318">
            <v>20.390807290896916</v>
          </cell>
          <cell r="CK318">
            <v>1.2018158822830236</v>
          </cell>
          <cell r="CL318">
            <v>5213401</v>
          </cell>
          <cell r="CM318">
            <v>22.71825438768407</v>
          </cell>
          <cell r="CN318">
            <v>1.3389935254330845</v>
          </cell>
        </row>
        <row r="319">
          <cell r="B319">
            <v>5501702</v>
          </cell>
          <cell r="C319" t="str">
            <v>SICRO</v>
          </cell>
          <cell r="D319" t="str">
            <v>Destocamento de árvores com diâmetro maior que 0,30 m</v>
          </cell>
          <cell r="E319" t="str">
            <v>un</v>
          </cell>
          <cell r="F319">
            <v>56.001337222891571</v>
          </cell>
          <cell r="G319">
            <v>56.001337222891571</v>
          </cell>
          <cell r="H319">
            <v>56.001337222891571</v>
          </cell>
          <cell r="I319">
            <v>0</v>
          </cell>
          <cell r="J319">
            <v>56.583200271445776</v>
          </cell>
          <cell r="K319">
            <v>56.583200271445776</v>
          </cell>
          <cell r="L319">
            <v>56.583200271445776</v>
          </cell>
          <cell r="W319" t="str">
            <v>M1624</v>
          </cell>
          <cell r="X319" t="str">
            <v>Suporte polimérico ecológico maciço para placa de sinalização - seção quadrada de 8 cm</v>
          </cell>
          <cell r="Y319" t="str">
            <v>m</v>
          </cell>
          <cell r="Z319">
            <v>135.80000000000001</v>
          </cell>
          <cell r="AA319">
            <v>0</v>
          </cell>
          <cell r="BC319" t="str">
            <v>M0442</v>
          </cell>
          <cell r="BD319" t="str">
            <v>Compensado plastificado de 10 mm</v>
          </cell>
          <cell r="BE319" t="str">
            <v>m²</v>
          </cell>
          <cell r="BF319">
            <v>21.365500000000001</v>
          </cell>
          <cell r="BG319">
            <v>0</v>
          </cell>
          <cell r="CC319">
            <v>0</v>
          </cell>
          <cell r="CD319" t="str">
            <v>Tacha refletiva monodirecional - fornecimento e colocação</v>
          </cell>
          <cell r="CE319" t="str">
            <v>un</v>
          </cell>
          <cell r="CF319" t="str">
            <v>3 / 16m / 7,8m largura</v>
          </cell>
          <cell r="CG319">
            <v>2.403846153846154E-2</v>
          </cell>
          <cell r="CH319">
            <v>1</v>
          </cell>
          <cell r="CI319">
            <v>5213359</v>
          </cell>
          <cell r="CJ319">
            <v>12.189996472111552</v>
          </cell>
          <cell r="CK319">
            <v>0.38489327803169532</v>
          </cell>
          <cell r="CL319">
            <v>5213359</v>
          </cell>
          <cell r="CM319">
            <v>14.739324009960159</v>
          </cell>
          <cell r="CN319">
            <v>0.46538706940102564</v>
          </cell>
        </row>
        <row r="320">
          <cell r="B320">
            <v>5501875</v>
          </cell>
          <cell r="C320" t="str">
            <v>SICRO</v>
          </cell>
          <cell r="D320" t="str">
            <v>Escavação, carga e transporte de material de 1ª categoria - DMT de 50 a 200 m - caminho de serviço em leito natural - com</v>
          </cell>
          <cell r="E320" t="str">
            <v>m³</v>
          </cell>
          <cell r="F320">
            <v>5.4973043350533706</v>
          </cell>
          <cell r="G320">
            <v>5.4973043350533706</v>
          </cell>
          <cell r="H320">
            <v>5.4973043350533706</v>
          </cell>
          <cell r="I320">
            <v>0</v>
          </cell>
          <cell r="J320">
            <v>5.5216492194350311</v>
          </cell>
          <cell r="K320">
            <v>5.5216492194350311</v>
          </cell>
          <cell r="L320">
            <v>5.5216492194350311</v>
          </cell>
          <cell r="W320">
            <v>5213414</v>
          </cell>
          <cell r="X320" t="str">
            <v xml:space="preserve">Confecção de placa em aço nº 16 galvanizado, com película retrorrefletiva tipo I + SI  </v>
          </cell>
          <cell r="Y320" t="str">
            <v>m²</v>
          </cell>
          <cell r="Z320">
            <v>453.62</v>
          </cell>
          <cell r="AA320">
            <v>0</v>
          </cell>
          <cell r="BC320">
            <v>1110000</v>
          </cell>
          <cell r="BD320" t="str">
            <v xml:space="preserve">Concreto </v>
          </cell>
          <cell r="BE320" t="str">
            <v>m³</v>
          </cell>
          <cell r="BF320">
            <v>0</v>
          </cell>
          <cell r="BG320">
            <v>0</v>
          </cell>
          <cell r="CC320">
            <v>0</v>
          </cell>
          <cell r="CD320" t="str">
            <v>Tacha refletiva metálica com dois pinos - bidirecional - fornecimento e colocação</v>
          </cell>
          <cell r="CE320" t="str">
            <v>un</v>
          </cell>
          <cell r="CF320" t="str">
            <v>não aplicada</v>
          </cell>
          <cell r="CG320">
            <v>0</v>
          </cell>
          <cell r="CH320">
            <v>1</v>
          </cell>
          <cell r="CI320">
            <v>5213395</v>
          </cell>
          <cell r="CJ320">
            <v>32.534966247709477</v>
          </cell>
          <cell r="CK320">
            <v>0</v>
          </cell>
          <cell r="CL320">
            <v>5213395</v>
          </cell>
          <cell r="CM320">
            <v>34.530034902548728</v>
          </cell>
          <cell r="CN320">
            <v>0</v>
          </cell>
        </row>
        <row r="321">
          <cell r="B321">
            <v>5502136</v>
          </cell>
          <cell r="C321" t="str">
            <v>SICRO</v>
          </cell>
          <cell r="D321" t="str">
            <v>Escavação, carga e transporte de material de 1ª categoria - DMT de 200 a 400 m - caminho de serviço em revestimento primário -</v>
          </cell>
          <cell r="E321" t="str">
            <v>m³</v>
          </cell>
          <cell r="F321">
            <v>3.4480046180500605</v>
          </cell>
          <cell r="G321">
            <v>3.4480046180500605</v>
          </cell>
          <cell r="H321">
            <v>3.4480046180500605</v>
          </cell>
          <cell r="I321">
            <v>0</v>
          </cell>
          <cell r="J321">
            <v>3.4612328068448015</v>
          </cell>
          <cell r="K321">
            <v>3.4612328068448015</v>
          </cell>
          <cell r="L321">
            <v>3.4612328068448015</v>
          </cell>
          <cell r="W321">
            <v>5213421</v>
          </cell>
          <cell r="X321" t="str">
            <v xml:space="preserve">Confecção de placa em aço nº 16 galvanizado, com película tipo I + IV  </v>
          </cell>
          <cell r="Y321" t="str">
            <v>m²</v>
          </cell>
          <cell r="Z321">
            <v>253.34</v>
          </cell>
          <cell r="AA321">
            <v>0</v>
          </cell>
          <cell r="BC321">
            <v>1600989</v>
          </cell>
          <cell r="BD321" t="str">
            <v xml:space="preserve">Demolição de concreto simples com martelete </v>
          </cell>
          <cell r="BE321" t="str">
            <v>m³</v>
          </cell>
          <cell r="BF321">
            <v>306.73</v>
          </cell>
          <cell r="BG321">
            <v>0</v>
          </cell>
          <cell r="CC321" t="str">
            <v>R6</v>
          </cell>
          <cell r="CD321" t="str">
            <v xml:space="preserve"> REFORÇO: (6,0cm) CBUQ C/ POLÍMERO</v>
          </cell>
          <cell r="CE321">
            <v>0</v>
          </cell>
          <cell r="CF321">
            <v>0</v>
          </cell>
          <cell r="CG321">
            <v>0</v>
          </cell>
          <cell r="CH321">
            <v>0</v>
          </cell>
          <cell r="CI321">
            <v>0</v>
          </cell>
          <cell r="CJ321">
            <v>0</v>
          </cell>
          <cell r="CK321">
            <v>64.958332114670981</v>
          </cell>
          <cell r="CL321">
            <v>0</v>
          </cell>
          <cell r="CM321">
            <v>0</v>
          </cell>
          <cell r="CN321">
            <v>67.109793747841579</v>
          </cell>
        </row>
        <row r="322">
          <cell r="B322">
            <v>5502137</v>
          </cell>
          <cell r="C322" t="str">
            <v>SICRO</v>
          </cell>
          <cell r="D322" t="str">
            <v>Escavação, carga e transporte de material de 1ª categoria - DMT de 400 a 600 m - caminho de serviço em revestimento primário - com escavadeira e caminhão basculante de 14 m³</v>
          </cell>
          <cell r="E322" t="str">
            <v>m³</v>
          </cell>
          <cell r="F322">
            <v>3.8296152425843761</v>
          </cell>
          <cell r="G322">
            <v>3.8296152425843761</v>
          </cell>
          <cell r="H322">
            <v>3.8296152425843761</v>
          </cell>
          <cell r="I322">
            <v>0</v>
          </cell>
          <cell r="J322">
            <v>3.8388191000478917</v>
          </cell>
          <cell r="K322">
            <v>3.8388191000478917</v>
          </cell>
          <cell r="L322">
            <v>3.8388191000478917</v>
          </cell>
          <cell r="W322">
            <v>5213417</v>
          </cell>
          <cell r="X322" t="str">
            <v xml:space="preserve">Confecção de placa em aço nº 16 galvanizado, com película retrorrefletiva tipo I + III  </v>
          </cell>
          <cell r="Y322" t="str">
            <v>m²</v>
          </cell>
          <cell r="Z322">
            <v>279.10000000000002</v>
          </cell>
          <cell r="AA322">
            <v>0</v>
          </cell>
          <cell r="BC322">
            <v>4915668</v>
          </cell>
          <cell r="BD322" t="str">
            <v xml:space="preserve">Remoção manual de revestimento betuminoso </v>
          </cell>
          <cell r="BE322" t="str">
            <v>m³</v>
          </cell>
          <cell r="BF322">
            <v>339.05</v>
          </cell>
          <cell r="BG322">
            <v>0</v>
          </cell>
          <cell r="CC322" t="str">
            <v>(m²)</v>
          </cell>
          <cell r="CD322" t="str">
            <v>Concreto asfáltico com asfalto polímero - faixa C - areia e brita comerciais</v>
          </cell>
          <cell r="CE322" t="str">
            <v>t</v>
          </cell>
          <cell r="CF322">
            <v>6</v>
          </cell>
          <cell r="CG322">
            <v>0.14399999999999999</v>
          </cell>
          <cell r="CH322">
            <v>1</v>
          </cell>
          <cell r="CI322">
            <v>4011466</v>
          </cell>
          <cell r="CJ322">
            <v>130.81939260452867</v>
          </cell>
          <cell r="CK322">
            <v>24.743703194790967</v>
          </cell>
          <cell r="CL322">
            <v>4011466</v>
          </cell>
          <cell r="CM322">
            <v>135.10461380032868</v>
          </cell>
          <cell r="CN322">
            <v>25.554227072649365</v>
          </cell>
        </row>
        <row r="323">
          <cell r="B323">
            <v>5502138</v>
          </cell>
          <cell r="C323" t="str">
            <v>SICRO</v>
          </cell>
          <cell r="D323" t="str">
            <v>Escavação, carga e transporte de material de 1ª categoria - DMT de 600 a 800 m - caminho de serviço em revestimento primário - com escavadeira e caminhão basculante de 14 m³</v>
          </cell>
          <cell r="E323" t="str">
            <v>m³</v>
          </cell>
          <cell r="F323">
            <v>3.939191350266118</v>
          </cell>
          <cell r="G323">
            <v>3.939191350266118</v>
          </cell>
          <cell r="H323">
            <v>3.939191350266118</v>
          </cell>
          <cell r="I323">
            <v>0</v>
          </cell>
          <cell r="J323">
            <v>3.9495348900158129</v>
          </cell>
          <cell r="K323">
            <v>3.9495348900158129</v>
          </cell>
          <cell r="L323">
            <v>3.9495348900158129</v>
          </cell>
          <cell r="W323" t="str">
            <v>M0799</v>
          </cell>
          <cell r="X323" t="str">
            <v>Semi-pórtico duplo metálico para vão de 2 x 2,7 m e vento de 35 m/s</v>
          </cell>
          <cell r="Y323" t="str">
            <v>un</v>
          </cell>
          <cell r="Z323">
            <v>22214.465700000001</v>
          </cell>
          <cell r="AA323">
            <v>0</v>
          </cell>
          <cell r="BC323">
            <v>307737</v>
          </cell>
          <cell r="BD323" t="str">
            <v>Junta de dilatação em perfil extrudado de borracha vulcanizada de 50 x 80 mm - fornecimento e instalação</v>
          </cell>
          <cell r="BE323" t="str">
            <v>m</v>
          </cell>
          <cell r="BF323">
            <v>1297.3599999999999</v>
          </cell>
          <cell r="BG323">
            <v>0</v>
          </cell>
          <cell r="CC323">
            <v>0</v>
          </cell>
          <cell r="CD323" t="str">
            <v>Fornecimento de Material Betuminoso c/ polímero SBS</v>
          </cell>
          <cell r="CE323" t="str">
            <v>t</v>
          </cell>
          <cell r="CF323" t="str">
            <v>0,057732 t</v>
          </cell>
          <cell r="CG323">
            <v>8.3134079999999996E-3</v>
          </cell>
          <cell r="CH323">
            <v>1</v>
          </cell>
          <cell r="CI323" t="str">
            <v>CPU10</v>
          </cell>
          <cell r="CJ323">
            <v>4481.4349761078774</v>
          </cell>
          <cell r="CK323">
            <v>37.255997381855032</v>
          </cell>
          <cell r="CL323" t="str">
            <v>CPU10-1</v>
          </cell>
          <cell r="CM323">
            <v>4614.4401264709131</v>
          </cell>
          <cell r="CN323">
            <v>38.361723462924296</v>
          </cell>
        </row>
        <row r="324">
          <cell r="B324">
            <v>5502139</v>
          </cell>
          <cell r="C324" t="str">
            <v>SICRO</v>
          </cell>
          <cell r="D324" t="str">
            <v>Escavação, carga e transporte de material de 1ª categoria - DMT de 800 a 1.000 m - caminho de serviço em revestimento primário - com escavadeira e caminhão basculante de 14 m³</v>
          </cell>
          <cell r="E324" t="str">
            <v>m³</v>
          </cell>
          <cell r="F324">
            <v>4.0487674579478607</v>
          </cell>
          <cell r="G324">
            <v>4.0487674579478607</v>
          </cell>
          <cell r="H324">
            <v>4.0487674579478607</v>
          </cell>
          <cell r="I324">
            <v>0</v>
          </cell>
          <cell r="J324">
            <v>4.0602506799837341</v>
          </cell>
          <cell r="K324">
            <v>4.0602506799837341</v>
          </cell>
          <cell r="L324">
            <v>4.0602506799837341</v>
          </cell>
          <cell r="W324" t="str">
            <v>M3505</v>
          </cell>
          <cell r="X324" t="str">
            <v>Material demolido - concreto simples</v>
          </cell>
          <cell r="Y324" t="str">
            <v>m³</v>
          </cell>
          <cell r="Z324">
            <v>0</v>
          </cell>
          <cell r="AA324">
            <v>0</v>
          </cell>
          <cell r="BC324">
            <v>307084</v>
          </cell>
          <cell r="BD324" t="str">
            <v>Lábios poliméricos 20 x 30 mm em junta de pavimento de concreto - confecção e assentamento</v>
          </cell>
          <cell r="BE324" t="str">
            <v>m</v>
          </cell>
          <cell r="BF324">
            <v>24.5</v>
          </cell>
          <cell r="BG324">
            <v>0</v>
          </cell>
          <cell r="CC324">
            <v>0</v>
          </cell>
          <cell r="CD324" t="str">
            <v>Pintura de ligação</v>
          </cell>
          <cell r="CE324" t="str">
            <v>m²</v>
          </cell>
          <cell r="CF324">
            <v>1</v>
          </cell>
          <cell r="CG324">
            <v>1</v>
          </cell>
          <cell r="CH324">
            <v>1</v>
          </cell>
          <cell r="CI324">
            <v>4011353</v>
          </cell>
          <cell r="CJ324">
            <v>0.18392808219669335</v>
          </cell>
          <cell r="CK324">
            <v>0.24158953596535671</v>
          </cell>
          <cell r="CL324">
            <v>4011353</v>
          </cell>
          <cell r="CM324">
            <v>0.18912484066666665</v>
          </cell>
          <cell r="CN324">
            <v>0.24841547821566662</v>
          </cell>
        </row>
        <row r="325">
          <cell r="B325">
            <v>5502140</v>
          </cell>
          <cell r="C325" t="str">
            <v>SICRO</v>
          </cell>
          <cell r="D325" t="str">
            <v>Escavação, carga e transporte de material de 1ª categoria - DMT de 1.000 a 1.200 m - caminho de serviço em revestimento primário - com escavadeira e caminhão basculante de 14 m³</v>
          </cell>
          <cell r="E325" t="str">
            <v>m³</v>
          </cell>
          <cell r="F325">
            <v>4.1583435656296022</v>
          </cell>
          <cell r="G325">
            <v>4.1583435656296022</v>
          </cell>
          <cell r="H325">
            <v>4.1583435656296022</v>
          </cell>
          <cell r="I325">
            <v>0</v>
          </cell>
          <cell r="J325">
            <v>4.1709664699516553</v>
          </cell>
          <cell r="K325">
            <v>4.1709664699516553</v>
          </cell>
          <cell r="L325">
            <v>4.1709664699516553</v>
          </cell>
          <cell r="W325" t="str">
            <v>E9621</v>
          </cell>
          <cell r="X325" t="str">
            <v>Bomba de injeção de argamassa e nata com capacidade de 50 l/min e misturador com tambor de 150 l - 12,5 kW</v>
          </cell>
          <cell r="Y325" t="str">
            <v>h</v>
          </cell>
          <cell r="Z325">
            <v>70.826700000000002</v>
          </cell>
          <cell r="AA325">
            <v>47.923299999999998</v>
          </cell>
          <cell r="BC325" t="str">
            <v>E9046</v>
          </cell>
          <cell r="BD325" t="str">
            <v>Conjunto bomba e macaco hidráulico para elevação com capacidade de 980 kN</v>
          </cell>
          <cell r="BE325" t="str">
            <v>h</v>
          </cell>
          <cell r="BF325">
            <v>44.956299999999999</v>
          </cell>
          <cell r="BG325">
            <v>41.406700000000001</v>
          </cell>
          <cell r="CC325">
            <v>0</v>
          </cell>
          <cell r="CD325" t="str">
            <v>Fornecimento de emulsão RR-1C</v>
          </cell>
          <cell r="CE325" t="str">
            <v>t</v>
          </cell>
          <cell r="CF325" t="str">
            <v>0,00045 t</v>
          </cell>
          <cell r="CG325">
            <v>4.4999999999999999E-4</v>
          </cell>
          <cell r="CH325">
            <v>1</v>
          </cell>
          <cell r="CI325" t="str">
            <v>CPU04</v>
          </cell>
          <cell r="CJ325">
            <v>2511.8507594331254</v>
          </cell>
          <cell r="CK325">
            <v>1.1303328417449063</v>
          </cell>
          <cell r="CL325" t="str">
            <v>CPU04-1</v>
          </cell>
          <cell r="CM325">
            <v>2535.6603093736671</v>
          </cell>
          <cell r="CN325">
            <v>1.1410471392181503</v>
          </cell>
        </row>
        <row r="326">
          <cell r="B326">
            <v>5502141</v>
          </cell>
          <cell r="C326" t="str">
            <v>SICRO</v>
          </cell>
          <cell r="D326" t="str">
            <v>Escavação, carga e transporte de material de 1ª categoria - DMT de 1.200 a 1.400 m - caminho de serviço em revestimento primário - com escavadeira e caminhão basculante de 14 m³</v>
          </cell>
          <cell r="E326" t="str">
            <v>m³</v>
          </cell>
          <cell r="F326">
            <v>4.2460044517749962</v>
          </cell>
          <cell r="G326">
            <v>4.2460044517749962</v>
          </cell>
          <cell r="H326">
            <v>4.2460044517749962</v>
          </cell>
          <cell r="I326">
            <v>0</v>
          </cell>
          <cell r="J326">
            <v>4.2595391019259914</v>
          </cell>
          <cell r="K326">
            <v>4.2595391019259914</v>
          </cell>
          <cell r="L326">
            <v>4.2595391019259914</v>
          </cell>
          <cell r="W326" t="str">
            <v>E9740</v>
          </cell>
          <cell r="X326" t="str">
            <v>Quadro tubular contraventado para andaime de 1 x 1 x 1 m com capacidade de 2 t</v>
          </cell>
          <cell r="Y326" t="str">
            <v>h</v>
          </cell>
          <cell r="Z326">
            <v>0.1103</v>
          </cell>
          <cell r="AA326">
            <v>8.6300000000000002E-2</v>
          </cell>
          <cell r="BC326" t="str">
            <v>P9802</v>
          </cell>
          <cell r="BD326" t="str">
            <v>Ajudante especializado</v>
          </cell>
          <cell r="BE326" t="str">
            <v>h</v>
          </cell>
          <cell r="BF326">
            <v>26.809000000000001</v>
          </cell>
          <cell r="BG326">
            <v>0</v>
          </cell>
          <cell r="CC326">
            <v>0</v>
          </cell>
          <cell r="CD326" t="str">
            <v>Pintura de faixa - tinta base acrílica - espessura de 0,6 mm</v>
          </cell>
          <cell r="CE326" t="str">
            <v>m²</v>
          </cell>
          <cell r="CF326" t="str">
            <v>2 faixas cont. + 1 faixa não cont.</v>
          </cell>
          <cell r="CG326">
            <v>4.4871794871794872E-2</v>
          </cell>
          <cell r="CH326">
            <v>1</v>
          </cell>
          <cell r="CI326">
            <v>5213401</v>
          </cell>
          <cell r="CJ326">
            <v>20.390807290896916</v>
          </cell>
          <cell r="CK326">
            <v>1.2018158822830236</v>
          </cell>
          <cell r="CL326">
            <v>5213401</v>
          </cell>
          <cell r="CM326">
            <v>22.71825438768407</v>
          </cell>
          <cell r="CN326">
            <v>1.3389935254330845</v>
          </cell>
        </row>
        <row r="327">
          <cell r="B327">
            <v>5502142</v>
          </cell>
          <cell r="C327" t="str">
            <v>SICRO</v>
          </cell>
          <cell r="D327" t="str">
            <v>Escavação, carga e transporte de material de 1ª categoria - DMT de 1.400 a 1.600 m - caminho de serviço em revestimento primário - com escavadeira e caminhão basculante de 14 m³</v>
          </cell>
          <cell r="E327" t="str">
            <v>m³</v>
          </cell>
          <cell r="F327">
            <v>4.6056998547729631</v>
          </cell>
          <cell r="G327">
            <v>4.6056998547729631</v>
          </cell>
          <cell r="H327">
            <v>4.6056998547729631</v>
          </cell>
          <cell r="I327">
            <v>0</v>
          </cell>
          <cell r="J327">
            <v>4.6149822371354983</v>
          </cell>
          <cell r="K327">
            <v>4.6149822371354983</v>
          </cell>
          <cell r="L327">
            <v>4.6149822371354983</v>
          </cell>
          <cell r="W327" t="str">
            <v>E9510</v>
          </cell>
          <cell r="X327" t="str">
            <v>Ventilador centrífugo baixa pressão com capacidade de 58 m³/min - 3,68 kW</v>
          </cell>
          <cell r="Y327" t="str">
            <v>h</v>
          </cell>
          <cell r="Z327">
            <v>1.3512</v>
          </cell>
          <cell r="AA327">
            <v>0.86860000000000004</v>
          </cell>
          <cell r="BC327" t="str">
            <v>M0064</v>
          </cell>
          <cell r="BD327" t="str">
            <v>Apoio de neoprene fretado de 150 x 200 x 35 mm</v>
          </cell>
          <cell r="BE327" t="str">
            <v>un</v>
          </cell>
          <cell r="BF327">
            <v>79.320800000000006</v>
          </cell>
          <cell r="BG327">
            <v>0</v>
          </cell>
          <cell r="CC327">
            <v>0</v>
          </cell>
          <cell r="CD327" t="str">
            <v>Tacha refletiva monodirecional - fornecimento e colocação</v>
          </cell>
          <cell r="CE327" t="str">
            <v>un</v>
          </cell>
          <cell r="CF327" t="str">
            <v>3 / 16m / 7,8m largura</v>
          </cell>
          <cell r="CG327">
            <v>2.403846153846154E-2</v>
          </cell>
          <cell r="CH327">
            <v>1</v>
          </cell>
          <cell r="CI327">
            <v>5213359</v>
          </cell>
          <cell r="CJ327">
            <v>12.189996472111552</v>
          </cell>
          <cell r="CK327">
            <v>0.38489327803169532</v>
          </cell>
          <cell r="CL327">
            <v>5213359</v>
          </cell>
          <cell r="CM327">
            <v>14.739324009960159</v>
          </cell>
          <cell r="CN327">
            <v>0.46538706940102564</v>
          </cell>
        </row>
        <row r="328">
          <cell r="B328">
            <v>5502169</v>
          </cell>
          <cell r="C328" t="str">
            <v>SICRO</v>
          </cell>
          <cell r="D328" t="str">
            <v>Escavação, carga e transporte de material de 1ª categoria - DMT de 1.600 a 1.800 m - caminho de serviço pavimentado - com escavadeira e caminhão basculante de 14 m³</v>
          </cell>
          <cell r="E328" t="str">
            <v>m³</v>
          </cell>
          <cell r="F328">
            <v>4.2240892302386479</v>
          </cell>
          <cell r="G328">
            <v>4.2240892302386479</v>
          </cell>
          <cell r="H328">
            <v>4.2240892302386479</v>
          </cell>
          <cell r="I328">
            <v>0</v>
          </cell>
          <cell r="J328">
            <v>4.2373959439324089</v>
          </cell>
          <cell r="K328">
            <v>4.2373959439324089</v>
          </cell>
          <cell r="L328">
            <v>4.2373959439324089</v>
          </cell>
          <cell r="W328" t="str">
            <v>M1797</v>
          </cell>
          <cell r="X328" t="str">
            <v>Fita de espuma EPDM para vedação com adesivo uma face de 4 x 40 mm</v>
          </cell>
          <cell r="Y328" t="str">
            <v>m</v>
          </cell>
          <cell r="Z328">
            <v>2.7</v>
          </cell>
          <cell r="AA328">
            <v>0</v>
          </cell>
          <cell r="BC328" t="str">
            <v>E9706</v>
          </cell>
          <cell r="BD328" t="str">
            <v>Martelete perfurador/rompedor a ar comprimido de 28 kg</v>
          </cell>
          <cell r="BE328" t="str">
            <v>h</v>
          </cell>
          <cell r="BF328">
            <v>23.672599999999999</v>
          </cell>
          <cell r="BG328">
            <v>22.560099999999998</v>
          </cell>
          <cell r="CC328">
            <v>0</v>
          </cell>
          <cell r="CD328" t="str">
            <v>Tacha refletiva metálica com dois pinos - bidirecional - fornecimento e colocação</v>
          </cell>
          <cell r="CE328" t="str">
            <v>un</v>
          </cell>
          <cell r="CF328" t="str">
            <v>não aplicada</v>
          </cell>
          <cell r="CG328">
            <v>0</v>
          </cell>
          <cell r="CH328">
            <v>1</v>
          </cell>
          <cell r="CI328">
            <v>5213395</v>
          </cell>
          <cell r="CJ328">
            <v>32.534966247709477</v>
          </cell>
          <cell r="CK328">
            <v>0</v>
          </cell>
          <cell r="CL328">
            <v>5213395</v>
          </cell>
          <cell r="CM328">
            <v>34.530034902548728</v>
          </cell>
          <cell r="CN328">
            <v>0</v>
          </cell>
        </row>
        <row r="329">
          <cell r="B329">
            <v>5502144</v>
          </cell>
          <cell r="C329" t="str">
            <v>SICRO</v>
          </cell>
          <cell r="D329" t="str">
            <v>Escavação, carga e transporte de material de 1ª categoria - DMT de 1.800 a 2.000 m - caminho de serviço em revestimento primário - com escavadeira e caminhão basculante de 14 m³</v>
          </cell>
          <cell r="E329" t="str">
            <v>m³</v>
          </cell>
          <cell r="F329">
            <v>4.7974580432160119</v>
          </cell>
          <cell r="G329">
            <v>4.7974580432160119</v>
          </cell>
          <cell r="H329">
            <v>4.7974580432160119</v>
          </cell>
          <cell r="I329">
            <v>0</v>
          </cell>
          <cell r="J329">
            <v>4.8087348695793608</v>
          </cell>
          <cell r="K329">
            <v>4.8087348695793608</v>
          </cell>
          <cell r="L329">
            <v>4.8087348695793608</v>
          </cell>
          <cell r="W329" t="str">
            <v>M2524</v>
          </cell>
          <cell r="X329" t="str">
            <v>Tunnel liner de chapa com epóxi - E = 2,2 mm e D = 2,0 m</v>
          </cell>
          <cell r="Y329" t="str">
            <v>m</v>
          </cell>
          <cell r="Z329">
            <v>2848.4497000000001</v>
          </cell>
          <cell r="AA329">
            <v>0</v>
          </cell>
          <cell r="BC329" t="str">
            <v>E9591</v>
          </cell>
          <cell r="BD329" t="str">
            <v>Serra para corte de concreto e asfalto - 10 kW</v>
          </cell>
          <cell r="BE329" t="str">
            <v>h</v>
          </cell>
          <cell r="BF329">
            <v>9.0446000000000009</v>
          </cell>
          <cell r="BG329">
            <v>1.1304000000000001</v>
          </cell>
          <cell r="CC329" t="str">
            <v>R6,5</v>
          </cell>
          <cell r="CD329" t="str">
            <v xml:space="preserve"> REFORÇO: (6,5cm) CBUQ C/ POLÍMERO</v>
          </cell>
          <cell r="CE329">
            <v>0</v>
          </cell>
          <cell r="CF329">
            <v>0</v>
          </cell>
          <cell r="CG329">
            <v>0</v>
          </cell>
          <cell r="CH329">
            <v>0</v>
          </cell>
          <cell r="CI329">
            <v>0</v>
          </cell>
          <cell r="CJ329">
            <v>0</v>
          </cell>
          <cell r="CK329">
            <v>71.496896207101756</v>
          </cell>
          <cell r="CL329">
            <v>0</v>
          </cell>
          <cell r="CM329">
            <v>0</v>
          </cell>
          <cell r="CN329">
            <v>73.825585576573232</v>
          </cell>
        </row>
        <row r="330">
          <cell r="B330">
            <v>5502835</v>
          </cell>
          <cell r="C330" t="str">
            <v>SICRO</v>
          </cell>
          <cell r="D330" t="str">
            <v>Escavação, carga e transporte de material de 1ª categoria na distância de 3.000 m - caminho de serviço em revestimento primário - com escavadeira e caminhão basculante de 14 m³</v>
          </cell>
          <cell r="E330" t="str">
            <v>m³</v>
          </cell>
          <cell r="F330">
            <v>5.6447671253977321</v>
          </cell>
          <cell r="G330">
            <v>5.6447671253977321</v>
          </cell>
          <cell r="H330">
            <v>5.6447671253977321</v>
          </cell>
          <cell r="I330">
            <v>0</v>
          </cell>
          <cell r="J330">
            <v>5.6568632701461175</v>
          </cell>
          <cell r="K330">
            <v>5.6568632701461175</v>
          </cell>
          <cell r="L330">
            <v>5.6568632701461175</v>
          </cell>
          <cell r="W330">
            <v>605604</v>
          </cell>
          <cell r="X330" t="str">
            <v xml:space="preserve">Argamassa de solo-cimento com 10% de cimento e material de jazida - preparo para injeção em tunnel liner </v>
          </cell>
          <cell r="Y330" t="str">
            <v>m³</v>
          </cell>
          <cell r="Z330">
            <v>81.89</v>
          </cell>
          <cell r="AA330">
            <v>0</v>
          </cell>
          <cell r="BC330">
            <v>1107900</v>
          </cell>
          <cell r="BD330" t="str">
            <v xml:space="preserve">Concreto fck = 30 MPa - confecção em betoneira e lançamento manual - areia e brita comerciais </v>
          </cell>
          <cell r="BE330" t="str">
            <v>m³</v>
          </cell>
          <cell r="BF330">
            <v>344.51</v>
          </cell>
          <cell r="BG330">
            <v>0</v>
          </cell>
          <cell r="CC330" t="str">
            <v>(m²)</v>
          </cell>
          <cell r="CD330" t="str">
            <v>Concreto asfáltico com asfalto polímero - faixa C - areia e brita comerciais</v>
          </cell>
          <cell r="CE330" t="str">
            <v>t</v>
          </cell>
          <cell r="CF330">
            <v>6.5</v>
          </cell>
          <cell r="CG330">
            <v>0.156</v>
          </cell>
          <cell r="CH330">
            <v>1</v>
          </cell>
          <cell r="CI330">
            <v>4011466</v>
          </cell>
          <cell r="CJ330">
            <v>130.81939260452867</v>
          </cell>
          <cell r="CK330">
            <v>26.80567846102355</v>
          </cell>
          <cell r="CL330">
            <v>4011466</v>
          </cell>
          <cell r="CM330">
            <v>135.10461380032868</v>
          </cell>
          <cell r="CN330">
            <v>27.683745995370145</v>
          </cell>
        </row>
        <row r="331">
          <cell r="B331">
            <v>5502351</v>
          </cell>
          <cell r="C331" t="str">
            <v>SICRO</v>
          </cell>
          <cell r="D331" t="str">
            <v>Escavação, carga e transporte de material de 2ª categoria - DMT de 50 a 200 m - caminho de serviço em leito natural - com carregadeira e caminhão basculante de 14 m³</v>
          </cell>
          <cell r="E331" t="str">
            <v>m³</v>
          </cell>
          <cell r="F331">
            <v>9.0518459221738414</v>
          </cell>
          <cell r="G331">
            <v>9.0518459221738414</v>
          </cell>
          <cell r="H331">
            <v>9.0518459221738414</v>
          </cell>
          <cell r="I331">
            <v>0</v>
          </cell>
          <cell r="J331">
            <v>9.1133955808354532</v>
          </cell>
          <cell r="K331">
            <v>9.1133955808354532</v>
          </cell>
          <cell r="L331">
            <v>9.1133955808354532</v>
          </cell>
          <cell r="W331">
            <v>4816000</v>
          </cell>
          <cell r="X331" t="str">
            <v xml:space="preserve">Escavação manual de tunnel liner em material de 1ª categoria </v>
          </cell>
          <cell r="Y331" t="str">
            <v>m³</v>
          </cell>
          <cell r="Z331">
            <v>449.88</v>
          </cell>
          <cell r="AA331">
            <v>0</v>
          </cell>
          <cell r="BC331" t="str">
            <v>M0721</v>
          </cell>
          <cell r="BD331" t="str">
            <v>Fundo anticorrosivo zarcão</v>
          </cell>
          <cell r="BE331" t="str">
            <v>l</v>
          </cell>
          <cell r="BF331">
            <v>21.9848</v>
          </cell>
          <cell r="BG331">
            <v>0</v>
          </cell>
          <cell r="CC331">
            <v>0</v>
          </cell>
          <cell r="CD331" t="str">
            <v>Fornecimento de Material Betuminoso c/ polímero SBS</v>
          </cell>
          <cell r="CE331" t="str">
            <v>t</v>
          </cell>
          <cell r="CF331" t="str">
            <v>0,057732 t</v>
          </cell>
          <cell r="CG331">
            <v>9.0061919999999997E-3</v>
          </cell>
          <cell r="CH331">
            <v>1</v>
          </cell>
          <cell r="CI331" t="str">
            <v>CPU10</v>
          </cell>
          <cell r="CJ331">
            <v>4481.4349761078774</v>
          </cell>
          <cell r="CK331">
            <v>40.360663830342958</v>
          </cell>
          <cell r="CL331" t="str">
            <v>CPU10-1</v>
          </cell>
          <cell r="CM331">
            <v>4614.4401264709131</v>
          </cell>
          <cell r="CN331">
            <v>41.558533751501322</v>
          </cell>
        </row>
        <row r="332">
          <cell r="B332">
            <v>5502378</v>
          </cell>
          <cell r="C332" t="str">
            <v>SICRO</v>
          </cell>
          <cell r="D332" t="str">
            <v>Escavação, carga e transporte de material de 2ª categoria - DMT de 200 a 400 m - caminho de serviço em revestimento primário - com carregadeira e caminhão basculante de 14 m³</v>
          </cell>
          <cell r="E332" t="str">
            <v>m³</v>
          </cell>
          <cell r="F332">
            <v>9.0518459221738414</v>
          </cell>
          <cell r="G332">
            <v>9.0518459221738414</v>
          </cell>
          <cell r="H332">
            <v>9.0518459221738414</v>
          </cell>
          <cell r="I332">
            <v>0</v>
          </cell>
          <cell r="J332">
            <v>9.1133955808354532</v>
          </cell>
          <cell r="K332">
            <v>9.1133955808354532</v>
          </cell>
          <cell r="L332">
            <v>9.1133955808354532</v>
          </cell>
          <cell r="W332">
            <v>4816003</v>
          </cell>
          <cell r="X332" t="str">
            <v xml:space="preserve">Iluminação provisória para tunnel liner </v>
          </cell>
          <cell r="Y332" t="str">
            <v>m</v>
          </cell>
          <cell r="Z332">
            <v>26.27</v>
          </cell>
          <cell r="AA332">
            <v>0</v>
          </cell>
          <cell r="BC332" t="str">
            <v>M0879</v>
          </cell>
          <cell r="BD332" t="str">
            <v>Lixa para ferro</v>
          </cell>
          <cell r="BE332" t="str">
            <v>un</v>
          </cell>
          <cell r="BF332">
            <v>3.11</v>
          </cell>
          <cell r="BG332">
            <v>0</v>
          </cell>
          <cell r="CC332">
            <v>0</v>
          </cell>
          <cell r="CD332" t="str">
            <v>Pintura de ligação</v>
          </cell>
          <cell r="CE332" t="str">
            <v>m²</v>
          </cell>
          <cell r="CF332">
            <v>2</v>
          </cell>
          <cell r="CG332">
            <v>2</v>
          </cell>
          <cell r="CH332">
            <v>1</v>
          </cell>
          <cell r="CI332">
            <v>4011353</v>
          </cell>
          <cell r="CJ332">
            <v>0.18392808219669335</v>
          </cell>
          <cell r="CK332">
            <v>0.48317907193071341</v>
          </cell>
          <cell r="CL332">
            <v>4011353</v>
          </cell>
          <cell r="CM332">
            <v>0.18912484066666665</v>
          </cell>
          <cell r="CN332">
            <v>0.49683095643133324</v>
          </cell>
        </row>
        <row r="333">
          <cell r="B333">
            <v>5502379</v>
          </cell>
          <cell r="C333" t="str">
            <v>SICRO</v>
          </cell>
          <cell r="D333" t="str">
            <v>Escavação, carga e transporte de material de 2ª categoria - DMT de 400 a 600 m - caminho de serviço em revestimento primário - com carregadeira e caminhão basculante de 14 m³</v>
          </cell>
          <cell r="E333" t="str">
            <v>m³</v>
          </cell>
          <cell r="F333">
            <v>9.1971941644004414</v>
          </cell>
          <cell r="G333">
            <v>9.1971941644004414</v>
          </cell>
          <cell r="H333">
            <v>9.1971941644004414</v>
          </cell>
          <cell r="I333">
            <v>0</v>
          </cell>
          <cell r="J333">
            <v>9.2605925260465387</v>
          </cell>
          <cell r="K333">
            <v>9.2605925260465387</v>
          </cell>
          <cell r="L333">
            <v>9.2605925260465387</v>
          </cell>
          <cell r="W333">
            <v>4816004</v>
          </cell>
          <cell r="X333" t="str">
            <v xml:space="preserve">Ventilação provisória para tunnel liner </v>
          </cell>
          <cell r="Y333" t="str">
            <v>m</v>
          </cell>
          <cell r="Z333">
            <v>23.74</v>
          </cell>
          <cell r="AA333">
            <v>0</v>
          </cell>
          <cell r="BC333" t="str">
            <v>E9061</v>
          </cell>
          <cell r="BD333" t="str">
            <v>Lixadeira elétrica manual angular - 2 kW</v>
          </cell>
          <cell r="BE333" t="str">
            <v>h</v>
          </cell>
          <cell r="BF333">
            <v>0.1391</v>
          </cell>
          <cell r="BG333">
            <v>9.2100000000000001E-2</v>
          </cell>
          <cell r="CC333">
            <v>0</v>
          </cell>
          <cell r="CD333" t="str">
            <v>Fornecimento de emulsão RR-1C</v>
          </cell>
          <cell r="CE333" t="str">
            <v>t</v>
          </cell>
          <cell r="CF333" t="str">
            <v>0,00045 t</v>
          </cell>
          <cell r="CG333">
            <v>8.9999999999999998E-4</v>
          </cell>
          <cell r="CH333">
            <v>1</v>
          </cell>
          <cell r="CI333" t="str">
            <v>CPU04</v>
          </cell>
          <cell r="CJ333">
            <v>2511.8507594331254</v>
          </cell>
          <cell r="CK333">
            <v>2.2606656834898127</v>
          </cell>
          <cell r="CL333" t="str">
            <v>CPU04-1</v>
          </cell>
          <cell r="CM333">
            <v>2535.6603093736671</v>
          </cell>
          <cell r="CN333">
            <v>2.2820942784363005</v>
          </cell>
        </row>
        <row r="334">
          <cell r="B334">
            <v>5502380</v>
          </cell>
          <cell r="C334" t="str">
            <v>SICRO</v>
          </cell>
          <cell r="D334" t="str">
            <v>Escavação, carga e transporte de material de 2ª categoria - DMT de 600 a 800 m - caminho de serviço em revestimento primário - com carregadeira e caminhão basculante de 14 m³</v>
          </cell>
          <cell r="E334" t="str">
            <v>m³</v>
          </cell>
          <cell r="F334">
            <v>9.3217783720232408</v>
          </cell>
          <cell r="G334">
            <v>9.3217783720232408</v>
          </cell>
          <cell r="H334">
            <v>9.3217783720232408</v>
          </cell>
          <cell r="I334">
            <v>0</v>
          </cell>
          <cell r="J334">
            <v>9.3867613362274707</v>
          </cell>
          <cell r="K334">
            <v>9.3867613362274707</v>
          </cell>
          <cell r="L334">
            <v>9.3867613362274707</v>
          </cell>
          <cell r="W334" t="str">
            <v>M2529</v>
          </cell>
          <cell r="X334" t="str">
            <v>Tunnel liner de chapa com epóxi - E = 2,2 mm e D = 3,0 m</v>
          </cell>
          <cell r="Y334" t="str">
            <v>m</v>
          </cell>
          <cell r="Z334">
            <v>4272.6796999999997</v>
          </cell>
          <cell r="AA334">
            <v>0</v>
          </cell>
          <cell r="BC334" t="str">
            <v>E9547</v>
          </cell>
          <cell r="BD334" t="str">
            <v>Máquina para solda elétrica - 9,2 kW</v>
          </cell>
          <cell r="BE334" t="str">
            <v>h</v>
          </cell>
          <cell r="BF334">
            <v>9.5000000000000001E-2</v>
          </cell>
          <cell r="BG334">
            <v>5.2299999999999999E-2</v>
          </cell>
          <cell r="CC334">
            <v>0</v>
          </cell>
          <cell r="CD334" t="str">
            <v>Pintura de faixa - tinta base acrílica - espessura de 0,6 mm</v>
          </cell>
          <cell r="CE334" t="str">
            <v>m²</v>
          </cell>
          <cell r="CF334" t="str">
            <v>2 faixas cont. + 1 faixa não cont.</v>
          </cell>
          <cell r="CG334">
            <v>4.4871794871794872E-2</v>
          </cell>
          <cell r="CH334">
            <v>1</v>
          </cell>
          <cell r="CI334">
            <v>5213401</v>
          </cell>
          <cell r="CJ334">
            <v>20.390807290896916</v>
          </cell>
          <cell r="CK334">
            <v>1.2018158822830236</v>
          </cell>
          <cell r="CL334">
            <v>5213401</v>
          </cell>
          <cell r="CM334">
            <v>22.71825438768407</v>
          </cell>
          <cell r="CN334">
            <v>1.3389935254330845</v>
          </cell>
        </row>
        <row r="335">
          <cell r="B335">
            <v>5502381</v>
          </cell>
          <cell r="C335" t="str">
            <v>SICRO</v>
          </cell>
          <cell r="D335" t="str">
            <v>Escavação, carga e transporte de material de 2ª categoria - DMT de 800 a 1.000 m - caminho de serviço em revestimento primário - com carregadeira e caminhão basculante de 14 m³</v>
          </cell>
          <cell r="E335" t="str">
            <v>m³</v>
          </cell>
          <cell r="F335">
            <v>9.755415572183141</v>
          </cell>
          <cell r="G335">
            <v>9.755415572183141</v>
          </cell>
          <cell r="H335">
            <v>9.755415572183141</v>
          </cell>
          <cell r="I335">
            <v>0</v>
          </cell>
          <cell r="J335">
            <v>9.8157928385741098</v>
          </cell>
          <cell r="K335">
            <v>9.8157928385741098</v>
          </cell>
          <cell r="L335">
            <v>9.8157928385741098</v>
          </cell>
          <cell r="W335">
            <v>605606</v>
          </cell>
          <cell r="X335" t="str">
            <v xml:space="preserve">Sistema de escoramento telescópico regulável para tunnel liner </v>
          </cell>
          <cell r="Y335" t="str">
            <v>m³</v>
          </cell>
          <cell r="Z335">
            <v>7.27</v>
          </cell>
          <cell r="AA335">
            <v>0</v>
          </cell>
          <cell r="BC335" t="str">
            <v>P9825</v>
          </cell>
          <cell r="BD335" t="str">
            <v>Soldador</v>
          </cell>
          <cell r="BE335" t="str">
            <v>h</v>
          </cell>
          <cell r="BF335">
            <v>31.287800000000001</v>
          </cell>
          <cell r="BG335">
            <v>0</v>
          </cell>
          <cell r="CC335">
            <v>0</v>
          </cell>
          <cell r="CD335" t="str">
            <v>Tacha refletiva monodirecional - fornecimento e colocação</v>
          </cell>
          <cell r="CE335" t="str">
            <v>un</v>
          </cell>
          <cell r="CF335" t="str">
            <v>3 / 16m / 7,8m largura</v>
          </cell>
          <cell r="CG335">
            <v>2.403846153846154E-2</v>
          </cell>
          <cell r="CH335">
            <v>1</v>
          </cell>
          <cell r="CI335">
            <v>5213359</v>
          </cell>
          <cell r="CJ335">
            <v>12.189996472111552</v>
          </cell>
          <cell r="CK335">
            <v>0.38489327803169532</v>
          </cell>
          <cell r="CL335">
            <v>5213359</v>
          </cell>
          <cell r="CM335">
            <v>14.739324009960159</v>
          </cell>
          <cell r="CN335">
            <v>0.46538706940102564</v>
          </cell>
        </row>
        <row r="336">
          <cell r="B336">
            <v>5502382</v>
          </cell>
          <cell r="C336" t="str">
            <v>SICRO</v>
          </cell>
          <cell r="D336" t="str">
            <v>Escavação, carga e transporte de material de 2ª categoria - DMT de 1.000 a 1.200 m - caminho de serviço em revestimento primário - com carregadeira e caminhão basculante de 14 m³</v>
          </cell>
          <cell r="E336" t="str">
            <v>m³</v>
          </cell>
          <cell r="F336">
            <v>9.8661570900700699</v>
          </cell>
          <cell r="G336">
            <v>9.8661570900700699</v>
          </cell>
          <cell r="H336">
            <v>9.8661570900700699</v>
          </cell>
          <cell r="I336">
            <v>0</v>
          </cell>
          <cell r="J336">
            <v>9.9279428920682715</v>
          </cell>
          <cell r="K336">
            <v>9.9279428920682715</v>
          </cell>
          <cell r="L336">
            <v>9.9279428920682715</v>
          </cell>
          <cell r="W336">
            <v>6817753</v>
          </cell>
          <cell r="X336" t="str">
            <v xml:space="preserve">Confecção de BSCC - seção 1,5 x 1,5 m fechada - tipo I - areia e brita comerciais </v>
          </cell>
          <cell r="Y336" t="str">
            <v>m</v>
          </cell>
          <cell r="Z336">
            <v>858.29</v>
          </cell>
          <cell r="AA336">
            <v>0</v>
          </cell>
          <cell r="BC336" t="str">
            <v>M2130</v>
          </cell>
          <cell r="BD336" t="str">
            <v>Eletrodo E70 XX</v>
          </cell>
          <cell r="BE336" t="str">
            <v>kg</v>
          </cell>
          <cell r="BF336">
            <v>20.81</v>
          </cell>
          <cell r="BG336">
            <v>0</v>
          </cell>
          <cell r="CC336">
            <v>0</v>
          </cell>
          <cell r="CD336" t="str">
            <v>Tacha refletiva metálica com dois pinos - bidirecional - fornecimento e colocação</v>
          </cell>
          <cell r="CE336" t="str">
            <v>un</v>
          </cell>
          <cell r="CF336" t="str">
            <v>não aplicada</v>
          </cell>
          <cell r="CG336">
            <v>0</v>
          </cell>
          <cell r="CH336">
            <v>1</v>
          </cell>
          <cell r="CI336">
            <v>5213395</v>
          </cell>
          <cell r="CJ336">
            <v>32.534966247709477</v>
          </cell>
          <cell r="CK336">
            <v>0</v>
          </cell>
          <cell r="CL336">
            <v>5213395</v>
          </cell>
          <cell r="CM336">
            <v>34.530034902548728</v>
          </cell>
          <cell r="CN336">
            <v>0</v>
          </cell>
        </row>
        <row r="337">
          <cell r="B337">
            <v>5502383</v>
          </cell>
          <cell r="C337" t="str">
            <v>SICRO</v>
          </cell>
          <cell r="D337" t="str">
            <v>Escavação, carga e transporte de material de 2ª categoria - DMT de 1.200 a 1.400 m - caminho de serviço em revestimento primário - com carregadeira e caminhão basculante de 14 m³</v>
          </cell>
          <cell r="E337" t="str">
            <v>m³</v>
          </cell>
          <cell r="F337">
            <v>9.9768986079570059</v>
          </cell>
          <cell r="G337">
            <v>9.9768986079570059</v>
          </cell>
          <cell r="H337">
            <v>9.9768986079570059</v>
          </cell>
          <cell r="I337">
            <v>0</v>
          </cell>
          <cell r="J337">
            <v>10.040092945562431</v>
          </cell>
          <cell r="K337">
            <v>10.040092945562431</v>
          </cell>
          <cell r="L337">
            <v>10.040092945562431</v>
          </cell>
          <cell r="W337">
            <v>4805752</v>
          </cell>
          <cell r="X337" t="str">
            <v xml:space="preserve">Escavação manual em material de 1ª categoria na profundidade de 2 a 3 m </v>
          </cell>
          <cell r="Y337" t="str">
            <v>m³</v>
          </cell>
          <cell r="Z337">
            <v>61.54</v>
          </cell>
          <cell r="AA337">
            <v>0</v>
          </cell>
          <cell r="BC337" t="str">
            <v>M0798</v>
          </cell>
          <cell r="BD337" t="str">
            <v>Apoio de neoprene fretado</v>
          </cell>
          <cell r="BE337" t="str">
            <v>dm³</v>
          </cell>
          <cell r="BF337">
            <v>60.189700000000002</v>
          </cell>
          <cell r="BG337">
            <v>0</v>
          </cell>
          <cell r="CC337" t="str">
            <v>R7</v>
          </cell>
          <cell r="CD337" t="str">
            <v xml:space="preserve"> REFORÇO: (7,0cm) CBUQ C/ POLÍMERO</v>
          </cell>
          <cell r="CE337">
            <v>0</v>
          </cell>
          <cell r="CF337">
            <v>0</v>
          </cell>
          <cell r="CG337">
            <v>0</v>
          </cell>
          <cell r="CH337">
            <v>0</v>
          </cell>
          <cell r="CI337">
            <v>0</v>
          </cell>
          <cell r="CJ337">
            <v>0</v>
          </cell>
          <cell r="CK337">
            <v>76.663537921822254</v>
          </cell>
          <cell r="CL337">
            <v>0</v>
          </cell>
          <cell r="CM337">
            <v>0</v>
          </cell>
          <cell r="CN337">
            <v>79.151914787871036</v>
          </cell>
        </row>
        <row r="338">
          <cell r="B338">
            <v>5502384</v>
          </cell>
          <cell r="C338" t="str">
            <v>SICRO</v>
          </cell>
          <cell r="D338" t="str">
            <v>Escavação, carga e transporte de material de 2ª categoria - DMT de 1.400 a 1.600 m - caminho de serviço em revestimento primário - com carregadeira e caminhão basculante de 14 m³</v>
          </cell>
          <cell r="E338" t="str">
            <v>m³</v>
          </cell>
          <cell r="F338">
            <v>8.1289827635033411</v>
          </cell>
          <cell r="G338">
            <v>8.1289827635033411</v>
          </cell>
          <cell r="H338">
            <v>8.1289827635033411</v>
          </cell>
          <cell r="I338">
            <v>0</v>
          </cell>
          <cell r="J338">
            <v>8.2790523934090405</v>
          </cell>
          <cell r="K338">
            <v>8.2790523934090405</v>
          </cell>
          <cell r="L338">
            <v>8.2790523934090405</v>
          </cell>
          <cell r="W338" t="str">
            <v>E9535</v>
          </cell>
          <cell r="X338" t="str">
            <v>Serra circular com bancada - D = 30 cm - 4 kW</v>
          </cell>
          <cell r="Y338" t="str">
            <v>h</v>
          </cell>
          <cell r="Z338">
            <v>28.2911</v>
          </cell>
          <cell r="AA338">
            <v>28.124300000000002</v>
          </cell>
          <cell r="BC338" t="str">
            <v>E9788</v>
          </cell>
          <cell r="BD338" t="str">
            <v>Misturador de argamassa com capacidade de 250 l - 3,7 kW</v>
          </cell>
          <cell r="BE338" t="str">
            <v>h</v>
          </cell>
          <cell r="BF338">
            <v>24.842500000000001</v>
          </cell>
          <cell r="BG338">
            <v>22.170400000000001</v>
          </cell>
          <cell r="CC338" t="str">
            <v>(m²)</v>
          </cell>
          <cell r="CD338" t="str">
            <v>Concreto asfáltico com asfalto polímero - faixa C - areia e brita comerciais</v>
          </cell>
          <cell r="CE338" t="str">
            <v>t</v>
          </cell>
          <cell r="CF338">
            <v>7</v>
          </cell>
          <cell r="CG338">
            <v>0.16800000000000001</v>
          </cell>
          <cell r="CH338">
            <v>1</v>
          </cell>
          <cell r="CI338">
            <v>4011466</v>
          </cell>
          <cell r="CJ338">
            <v>130.81939260452867</v>
          </cell>
          <cell r="CK338">
            <v>28.867653727256133</v>
          </cell>
          <cell r="CL338">
            <v>4011466</v>
          </cell>
          <cell r="CM338">
            <v>135.10461380032868</v>
          </cell>
          <cell r="CN338">
            <v>29.81326491809093</v>
          </cell>
        </row>
        <row r="339">
          <cell r="B339">
            <v>5502411</v>
          </cell>
          <cell r="C339" t="str">
            <v>SICRO</v>
          </cell>
          <cell r="D339" t="str">
            <v>Escavação, carga e transporte de material de 2ª categoria - DMT de 1.600 a 1.800 m - caminho de serviço pavimentado - com carregadeira e caminhão basculante de 14 m³</v>
          </cell>
          <cell r="E339" t="str">
            <v>m³</v>
          </cell>
          <cell r="F339">
            <v>9.9492132284852701</v>
          </cell>
          <cell r="G339">
            <v>9.9492132284852701</v>
          </cell>
          <cell r="H339">
            <v>9.9492132284852701</v>
          </cell>
          <cell r="I339">
            <v>0</v>
          </cell>
          <cell r="J339">
            <v>10.012055432188889</v>
          </cell>
          <cell r="K339">
            <v>10.012055432188889</v>
          </cell>
          <cell r="L339">
            <v>10.012055432188889</v>
          </cell>
          <cell r="W339" t="str">
            <v>M0301</v>
          </cell>
          <cell r="X339" t="str">
            <v>Pontalete para escoramento - D = 10 cm</v>
          </cell>
          <cell r="Y339" t="str">
            <v>m</v>
          </cell>
          <cell r="Z339">
            <v>6</v>
          </cell>
          <cell r="AA339">
            <v>0</v>
          </cell>
          <cell r="BC339" t="str">
            <v>M0083</v>
          </cell>
          <cell r="BD339" t="str">
            <v>Argamassa tipo Sika Grout ou similar</v>
          </cell>
          <cell r="BE339" t="str">
            <v>kg</v>
          </cell>
          <cell r="BF339">
            <v>1.1336999999999999</v>
          </cell>
          <cell r="BG339">
            <v>0</v>
          </cell>
          <cell r="CC339">
            <v>0</v>
          </cell>
          <cell r="CD339" t="str">
            <v>Fornecimento de Material Betuminoso c/ polímero SBS</v>
          </cell>
          <cell r="CE339" t="str">
            <v>t</v>
          </cell>
          <cell r="CF339" t="str">
            <v>0,057732 t</v>
          </cell>
          <cell r="CG339">
            <v>9.6989759999999998E-3</v>
          </cell>
          <cell r="CH339">
            <v>1</v>
          </cell>
          <cell r="CI339" t="str">
            <v>CPU10</v>
          </cell>
          <cell r="CJ339">
            <v>4481.4349761078774</v>
          </cell>
          <cell r="CK339">
            <v>43.465330278830876</v>
          </cell>
          <cell r="CL339" t="str">
            <v>CPU10-1</v>
          </cell>
          <cell r="CM339">
            <v>4614.4401264709131</v>
          </cell>
          <cell r="CN339">
            <v>44.755344040078349</v>
          </cell>
        </row>
        <row r="340">
          <cell r="B340">
            <v>5502386</v>
          </cell>
          <cell r="C340" t="str">
            <v>SICRO</v>
          </cell>
          <cell r="D340" t="str">
            <v>Escavação, carga e transporte de material de 2ª categoria - DMT de 1.800 a 2.000 m - caminho de serviço em revestimento primário - com carregadeira e caminhão basculante de 14 m³</v>
          </cell>
          <cell r="E340" t="str">
            <v>m³</v>
          </cell>
          <cell r="F340">
            <v>10.281437782146069</v>
          </cell>
          <cell r="G340">
            <v>10.281437782146069</v>
          </cell>
          <cell r="H340">
            <v>10.281437782146069</v>
          </cell>
          <cell r="I340">
            <v>0</v>
          </cell>
          <cell r="J340">
            <v>10.348505592671374</v>
          </cell>
          <cell r="K340">
            <v>10.348505592671374</v>
          </cell>
          <cell r="L340">
            <v>10.348505592671374</v>
          </cell>
          <cell r="W340" t="str">
            <v>M1850</v>
          </cell>
          <cell r="X340" t="str">
            <v>Pranchão de 7,5 x 30 cm</v>
          </cell>
          <cell r="Y340" t="str">
            <v>m</v>
          </cell>
          <cell r="Z340">
            <v>49.876600000000003</v>
          </cell>
          <cell r="AA340">
            <v>0</v>
          </cell>
          <cell r="BC340" t="str">
            <v>E9094</v>
          </cell>
          <cell r="BD340" t="str">
            <v>Guindaste móvel sobre pneus com 6 eixos com capacidade de 10.500 kNm - 450 kW</v>
          </cell>
          <cell r="BE340" t="str">
            <v>h</v>
          </cell>
          <cell r="BF340">
            <v>1700.1335999999999</v>
          </cell>
          <cell r="BG340">
            <v>803.48599999999999</v>
          </cell>
          <cell r="CC340">
            <v>0</v>
          </cell>
          <cell r="CD340" t="str">
            <v>Pintura de ligação</v>
          </cell>
          <cell r="CE340" t="str">
            <v>m²</v>
          </cell>
          <cell r="CF340">
            <v>2</v>
          </cell>
          <cell r="CG340">
            <v>2</v>
          </cell>
          <cell r="CH340">
            <v>1</v>
          </cell>
          <cell r="CI340">
            <v>4011353</v>
          </cell>
          <cell r="CJ340">
            <v>0.18392808219669335</v>
          </cell>
          <cell r="CK340">
            <v>0.48317907193071341</v>
          </cell>
          <cell r="CL340">
            <v>4011353</v>
          </cell>
          <cell r="CM340">
            <v>0.18912484066666665</v>
          </cell>
          <cell r="CN340">
            <v>0.49683095643133324</v>
          </cell>
        </row>
        <row r="341">
          <cell r="B341">
            <v>5502881</v>
          </cell>
          <cell r="C341" t="str">
            <v>SICRO</v>
          </cell>
          <cell r="D341" t="str">
            <v>Escavação, carga e transporte de material de 2ª categoria na distância de 3.000 m - caminho de serviço em revestimento</v>
          </cell>
          <cell r="E341" t="str">
            <v>m³</v>
          </cell>
          <cell r="F341">
            <v>7.0314946014299489</v>
          </cell>
          <cell r="G341">
            <v>7.0314946014299489</v>
          </cell>
          <cell r="H341">
            <v>7.0314946014299489</v>
          </cell>
          <cell r="I341">
            <v>0</v>
          </cell>
          <cell r="J341">
            <v>7.0681875474060831</v>
          </cell>
          <cell r="K341">
            <v>7.0681875474060831</v>
          </cell>
          <cell r="L341">
            <v>7.0681875474060831</v>
          </cell>
          <cell r="W341" t="str">
            <v>M1205</v>
          </cell>
          <cell r="X341" t="str">
            <v>Prego de ferro</v>
          </cell>
          <cell r="Y341" t="str">
            <v>kg</v>
          </cell>
          <cell r="Z341">
            <v>5.2325999999999997</v>
          </cell>
          <cell r="AA341">
            <v>0</v>
          </cell>
          <cell r="BC341" t="str">
            <v>E9722</v>
          </cell>
          <cell r="BD341" t="str">
            <v>Conjunto bomba e macaco hidráulico para protensão com capacidade de 2.000 kN</v>
          </cell>
          <cell r="BE341" t="str">
            <v>h</v>
          </cell>
          <cell r="BF341">
            <v>44.159599999999998</v>
          </cell>
          <cell r="BG341">
            <v>42.2834</v>
          </cell>
          <cell r="CC341">
            <v>0</v>
          </cell>
          <cell r="CD341" t="str">
            <v>Fornecimento de emulsão RR-1C</v>
          </cell>
          <cell r="CE341" t="str">
            <v>t</v>
          </cell>
          <cell r="CF341" t="str">
            <v>0,00045 t</v>
          </cell>
          <cell r="CG341">
            <v>8.9999999999999998E-4</v>
          </cell>
          <cell r="CH341">
            <v>1</v>
          </cell>
          <cell r="CI341" t="str">
            <v>CPU04</v>
          </cell>
          <cell r="CJ341">
            <v>2511.8507594331254</v>
          </cell>
          <cell r="CK341">
            <v>2.2606656834898127</v>
          </cell>
          <cell r="CL341" t="str">
            <v>CPU04-1</v>
          </cell>
          <cell r="CM341">
            <v>2535.6603093736671</v>
          </cell>
          <cell r="CN341">
            <v>2.2820942784363005</v>
          </cell>
        </row>
        <row r="342">
          <cell r="B342">
            <v>5502742</v>
          </cell>
          <cell r="C342" t="str">
            <v>SICRO</v>
          </cell>
          <cell r="D342" t="str">
            <v>Escavação, carga e transporte de material de 3ª categoria - DMT de 50 a 200 m - caminho de serviço em leito natural com</v>
          </cell>
          <cell r="E342" t="str">
            <v>m³</v>
          </cell>
          <cell r="F342">
            <v>28.36601847604534</v>
          </cell>
          <cell r="G342">
            <v>28.36601847604534</v>
          </cell>
          <cell r="H342">
            <v>28.36601847604534</v>
          </cell>
          <cell r="I342">
            <v>0</v>
          </cell>
          <cell r="J342">
            <v>28.618491600426587</v>
          </cell>
          <cell r="K342">
            <v>28.618491600426587</v>
          </cell>
          <cell r="L342">
            <v>28.618491600426587</v>
          </cell>
          <cell r="W342" t="str">
            <v>M0290</v>
          </cell>
          <cell r="X342" t="str">
            <v>Tábua de 2,5 x 10 cm</v>
          </cell>
          <cell r="Y342" t="str">
            <v>m</v>
          </cell>
          <cell r="Z342">
            <v>2.7250000000000001</v>
          </cell>
          <cell r="AA342">
            <v>0</v>
          </cell>
          <cell r="BC342" t="str">
            <v>E9719</v>
          </cell>
          <cell r="BD342" t="str">
            <v>Talha manual com capacidade de 3 t</v>
          </cell>
          <cell r="BE342" t="str">
            <v>h</v>
          </cell>
          <cell r="BF342">
            <v>0.14549999999999999</v>
          </cell>
          <cell r="BG342">
            <v>0.1009</v>
          </cell>
          <cell r="CC342">
            <v>0</v>
          </cell>
          <cell r="CD342" t="str">
            <v>Pintura de faixa - tinta base acrílica - espessura de 0,6 mm</v>
          </cell>
          <cell r="CE342" t="str">
            <v>m²</v>
          </cell>
          <cell r="CF342" t="str">
            <v>2 faixas cont. + 1 faixa não cont.</v>
          </cell>
          <cell r="CG342">
            <v>4.4871794871794872E-2</v>
          </cell>
          <cell r="CH342">
            <v>1</v>
          </cell>
          <cell r="CI342">
            <v>5213401</v>
          </cell>
          <cell r="CJ342">
            <v>20.390807290896916</v>
          </cell>
          <cell r="CK342">
            <v>1.2018158822830236</v>
          </cell>
          <cell r="CL342">
            <v>5213401</v>
          </cell>
          <cell r="CM342">
            <v>22.71825438768407</v>
          </cell>
          <cell r="CN342">
            <v>1.3389935254330845</v>
          </cell>
        </row>
        <row r="343">
          <cell r="B343">
            <v>5502769</v>
          </cell>
          <cell r="C343" t="str">
            <v>SICRO</v>
          </cell>
          <cell r="D343" t="str">
            <v>Escavação, carga e transporte de material de 3ª categoria - DMT de 200 a 400 m - caminho de serviço em revestimento primário -</v>
          </cell>
          <cell r="E343" t="str">
            <v>m³</v>
          </cell>
          <cell r="F343">
            <v>28.36601847604534</v>
          </cell>
          <cell r="G343">
            <v>28.36601847604534</v>
          </cell>
          <cell r="H343">
            <v>28.36601847604534</v>
          </cell>
          <cell r="I343">
            <v>0</v>
          </cell>
          <cell r="J343">
            <v>28.618491600426587</v>
          </cell>
          <cell r="K343">
            <v>28.618491600426587</v>
          </cell>
          <cell r="L343">
            <v>28.618491600426587</v>
          </cell>
          <cell r="W343" t="str">
            <v>M0286</v>
          </cell>
          <cell r="X343" t="str">
            <v>Tábua de 2,5 x 30 cm</v>
          </cell>
          <cell r="Y343" t="str">
            <v>m</v>
          </cell>
          <cell r="Z343">
            <v>8.6997</v>
          </cell>
          <cell r="AA343">
            <v>0</v>
          </cell>
          <cell r="BC343" t="str">
            <v>M0092</v>
          </cell>
          <cell r="BD343" t="str">
            <v>Ancoragem ativa em ferro fundido nodular para 12 cordoalhas - D = 12,7 mm</v>
          </cell>
          <cell r="BE343" t="str">
            <v>un</v>
          </cell>
          <cell r="BF343">
            <v>1403.6684</v>
          </cell>
          <cell r="BG343">
            <v>0</v>
          </cell>
          <cell r="CC343">
            <v>0</v>
          </cell>
          <cell r="CD343" t="str">
            <v>Tacha refletiva monodirecional - fornecimento e colocação</v>
          </cell>
          <cell r="CE343" t="str">
            <v>un</v>
          </cell>
          <cell r="CF343" t="str">
            <v>3 / 16m / 7,8m largura</v>
          </cell>
          <cell r="CG343">
            <v>2.403846153846154E-2</v>
          </cell>
          <cell r="CH343">
            <v>1</v>
          </cell>
          <cell r="CI343">
            <v>5213359</v>
          </cell>
          <cell r="CJ343">
            <v>12.189996472111552</v>
          </cell>
          <cell r="CK343">
            <v>0.38489327803169532</v>
          </cell>
          <cell r="CL343">
            <v>5213359</v>
          </cell>
          <cell r="CM343">
            <v>14.739324009960159</v>
          </cell>
          <cell r="CN343">
            <v>0.46538706940102564</v>
          </cell>
        </row>
        <row r="344">
          <cell r="B344">
            <v>5502770</v>
          </cell>
          <cell r="C344" t="str">
            <v>SICRO</v>
          </cell>
          <cell r="D344" t="str">
            <v>Escavação, carga e transporte de material de 3ª categoria - DMT de 400 a 600 m - caminho de serviço em revestimento primário -</v>
          </cell>
          <cell r="E344" t="str">
            <v>m³</v>
          </cell>
          <cell r="F344">
            <v>28.630326617095314</v>
          </cell>
          <cell r="G344">
            <v>28.630326617095314</v>
          </cell>
          <cell r="H344">
            <v>28.630326617095314</v>
          </cell>
          <cell r="I344">
            <v>0</v>
          </cell>
          <cell r="J344">
            <v>28.886202664671192</v>
          </cell>
          <cell r="K344">
            <v>28.886202664671192</v>
          </cell>
          <cell r="L344">
            <v>28.886202664671192</v>
          </cell>
          <cell r="W344" t="str">
            <v>E9645</v>
          </cell>
          <cell r="X344" t="str">
            <v>Caminhão aplicador de material termoplástico - 136 kW</v>
          </cell>
          <cell r="Y344" t="str">
            <v>h</v>
          </cell>
          <cell r="Z344">
            <v>367.17869999999999</v>
          </cell>
          <cell r="AA344">
            <v>181.95330000000001</v>
          </cell>
          <cell r="BC344" t="str">
            <v>M2462</v>
          </cell>
          <cell r="BD344" t="str">
            <v>Mangueira cristal trançado ar/água com capacidade de 250 lb - D = 20 mm</v>
          </cell>
          <cell r="BE344" t="str">
            <v>m</v>
          </cell>
          <cell r="BF344">
            <v>5.5423999999999998</v>
          </cell>
          <cell r="BG344">
            <v>0</v>
          </cell>
          <cell r="CC344">
            <v>0</v>
          </cell>
          <cell r="CD344" t="str">
            <v>Tacha refletiva metálica com dois pinos - bidirecional - fornecimento e colocação</v>
          </cell>
          <cell r="CE344" t="str">
            <v>un</v>
          </cell>
          <cell r="CF344" t="str">
            <v>não aplicada</v>
          </cell>
          <cell r="CG344">
            <v>0</v>
          </cell>
          <cell r="CH344">
            <v>1</v>
          </cell>
          <cell r="CI344">
            <v>5213395</v>
          </cell>
          <cell r="CJ344">
            <v>32.534966247709477</v>
          </cell>
          <cell r="CK344">
            <v>0</v>
          </cell>
          <cell r="CL344">
            <v>5213395</v>
          </cell>
          <cell r="CM344">
            <v>34.530034902548728</v>
          </cell>
          <cell r="CN344">
            <v>0</v>
          </cell>
        </row>
        <row r="345">
          <cell r="B345">
            <v>5502771</v>
          </cell>
          <cell r="C345" t="str">
            <v>SICRO</v>
          </cell>
          <cell r="D345" t="str">
            <v>Escavação, carga e transporte de material de 3ª categoria - DMT de 600 a 800 m - caminho de serviço em revestimento primário -</v>
          </cell>
          <cell r="E345" t="str">
            <v>m³</v>
          </cell>
          <cell r="F345">
            <v>28.819118146416717</v>
          </cell>
          <cell r="G345">
            <v>28.819118146416717</v>
          </cell>
          <cell r="H345">
            <v>28.819118146416717</v>
          </cell>
          <cell r="I345">
            <v>0</v>
          </cell>
          <cell r="J345">
            <v>29.077424853417334</v>
          </cell>
          <cell r="K345">
            <v>29.077424853417334</v>
          </cell>
          <cell r="L345">
            <v>29.077424853417334</v>
          </cell>
          <cell r="W345" t="str">
            <v>M1585</v>
          </cell>
          <cell r="X345" t="str">
            <v>Massa termoplástica para aplicação em alto relevo</v>
          </cell>
          <cell r="Y345" t="str">
            <v>kg</v>
          </cell>
          <cell r="Z345">
            <v>10.25</v>
          </cell>
          <cell r="AA345">
            <v>0</v>
          </cell>
          <cell r="BC345" t="str">
            <v>M2419</v>
          </cell>
          <cell r="BD345" t="str">
            <v>Parafuso cabeça abaulada M6 com porca e arruela</v>
          </cell>
          <cell r="BE345" t="str">
            <v>un</v>
          </cell>
          <cell r="BF345">
            <v>0.72</v>
          </cell>
          <cell r="BG345">
            <v>0</v>
          </cell>
          <cell r="CC345" t="str">
            <v>R7,5</v>
          </cell>
          <cell r="CD345" t="str">
            <v xml:space="preserve"> REFORÇO: (7,5cm) CBUQ C/ POLÍMERO</v>
          </cell>
          <cell r="CE345">
            <v>0</v>
          </cell>
          <cell r="CF345">
            <v>0</v>
          </cell>
          <cell r="CG345">
            <v>0</v>
          </cell>
          <cell r="CH345">
            <v>0</v>
          </cell>
          <cell r="CI345">
            <v>0</v>
          </cell>
          <cell r="CJ345">
            <v>0</v>
          </cell>
          <cell r="CK345">
            <v>81.830179636542752</v>
          </cell>
          <cell r="CL345">
            <v>0</v>
          </cell>
          <cell r="CM345">
            <v>0</v>
          </cell>
          <cell r="CN345">
            <v>84.478243999168839</v>
          </cell>
        </row>
        <row r="346">
          <cell r="B346">
            <v>5502772</v>
          </cell>
          <cell r="C346" t="str">
            <v>SICRO</v>
          </cell>
          <cell r="D346" t="str">
            <v>Escavação, carga e transporte de material de 3ª categoria - DMT de 800 a 1.000 m - caminho de serviço em revestimento</v>
          </cell>
          <cell r="E346" t="str">
            <v>m³</v>
          </cell>
          <cell r="F346">
            <v>29.045667981602406</v>
          </cell>
          <cell r="G346">
            <v>29.045667981602406</v>
          </cell>
          <cell r="H346">
            <v>29.045667981602406</v>
          </cell>
          <cell r="I346">
            <v>0</v>
          </cell>
          <cell r="J346">
            <v>29.306891479912707</v>
          </cell>
          <cell r="K346">
            <v>29.306891479912707</v>
          </cell>
          <cell r="L346">
            <v>29.306891479912707</v>
          </cell>
          <cell r="W346" t="str">
            <v>M0284</v>
          </cell>
          <cell r="X346" t="str">
            <v>Caibro de pinho de 7,5 x 7,5 cm</v>
          </cell>
          <cell r="Y346" t="str">
            <v>m</v>
          </cell>
          <cell r="Z346">
            <v>19.145499999999998</v>
          </cell>
          <cell r="AA346">
            <v>0</v>
          </cell>
          <cell r="BC346">
            <v>3816137</v>
          </cell>
          <cell r="BD346" t="str">
            <v>Nicho de madeira para dispositivo de ancoragem de protensão - confecção e instalação</v>
          </cell>
          <cell r="BE346" t="str">
            <v>m²</v>
          </cell>
          <cell r="BF346">
            <v>103.82</v>
          </cell>
          <cell r="BG346">
            <v>0</v>
          </cell>
          <cell r="CC346" t="str">
            <v>(m²)</v>
          </cell>
          <cell r="CD346" t="str">
            <v>Concreto asfáltico com asfalto polímero - faixa C - areia e brita comerciais</v>
          </cell>
          <cell r="CE346" t="str">
            <v>t</v>
          </cell>
          <cell r="CF346">
            <v>7.5</v>
          </cell>
          <cell r="CG346">
            <v>0.18</v>
          </cell>
          <cell r="CH346">
            <v>1</v>
          </cell>
          <cell r="CI346">
            <v>4011466</v>
          </cell>
          <cell r="CJ346">
            <v>130.81939260452867</v>
          </cell>
          <cell r="CK346">
            <v>30.929628993488713</v>
          </cell>
          <cell r="CL346">
            <v>4011466</v>
          </cell>
          <cell r="CM346">
            <v>135.10461380032868</v>
          </cell>
          <cell r="CN346">
            <v>31.942783840811707</v>
          </cell>
        </row>
        <row r="347">
          <cell r="B347">
            <v>5502773</v>
          </cell>
          <cell r="C347" t="str">
            <v>SICRO</v>
          </cell>
          <cell r="D347" t="str">
            <v>Escavação, carga e transporte de material de 3ª categoria - DMT de 1.000 a 1.200 m - caminho de serviço em revestimento</v>
          </cell>
          <cell r="E347" t="str">
            <v>m³</v>
          </cell>
          <cell r="F347">
            <v>29.196701205059526</v>
          </cell>
          <cell r="G347">
            <v>29.196701205059526</v>
          </cell>
          <cell r="H347">
            <v>29.196701205059526</v>
          </cell>
          <cell r="I347">
            <v>0</v>
          </cell>
          <cell r="J347">
            <v>29.459869230909625</v>
          </cell>
          <cell r="K347">
            <v>29.459869230909625</v>
          </cell>
          <cell r="L347">
            <v>29.459869230909625</v>
          </cell>
          <cell r="W347" t="str">
            <v>M0443</v>
          </cell>
          <cell r="X347" t="str">
            <v>Compensado plastificado de 12 mm</v>
          </cell>
          <cell r="Y347" t="str">
            <v>m²</v>
          </cell>
          <cell r="Z347">
            <v>20.169599999999999</v>
          </cell>
          <cell r="AA347">
            <v>0</v>
          </cell>
          <cell r="BC347" t="str">
            <v>E9717</v>
          </cell>
          <cell r="BD347" t="str">
            <v>Máquina policorte - 2,2 kW</v>
          </cell>
          <cell r="BE347" t="str">
            <v>h</v>
          </cell>
          <cell r="BF347">
            <v>0.1017</v>
          </cell>
          <cell r="BG347">
            <v>6.9500000000000006E-2</v>
          </cell>
          <cell r="CC347">
            <v>0</v>
          </cell>
          <cell r="CD347" t="str">
            <v>Fornecimento de Material Betuminoso c/ polímero SBS</v>
          </cell>
          <cell r="CE347" t="str">
            <v>t</v>
          </cell>
          <cell r="CF347" t="str">
            <v>0,057732 t</v>
          </cell>
          <cell r="CG347">
            <v>1.039176E-2</v>
          </cell>
          <cell r="CH347">
            <v>1</v>
          </cell>
          <cell r="CI347" t="str">
            <v>CPU10</v>
          </cell>
          <cell r="CJ347">
            <v>4481.4349761078774</v>
          </cell>
          <cell r="CK347">
            <v>46.569996727318795</v>
          </cell>
          <cell r="CL347" t="str">
            <v>CPU10-1</v>
          </cell>
          <cell r="CM347">
            <v>4614.4401264709131</v>
          </cell>
          <cell r="CN347">
            <v>47.952154328655375</v>
          </cell>
        </row>
        <row r="348">
          <cell r="B348">
            <v>5502774</v>
          </cell>
          <cell r="C348" t="str">
            <v>SICRO</v>
          </cell>
          <cell r="D348" t="str">
            <v>Escavação, carga e transporte de material de 3ª categoria - DMT de 1.200 a 1.400 m - caminho de serviço em revestimento</v>
          </cell>
          <cell r="E348" t="str">
            <v>m³</v>
          </cell>
          <cell r="F348">
            <v>29.385492734380936</v>
          </cell>
          <cell r="G348">
            <v>29.385492734380936</v>
          </cell>
          <cell r="H348">
            <v>29.385492734380936</v>
          </cell>
          <cell r="I348">
            <v>0</v>
          </cell>
          <cell r="J348">
            <v>29.651091419655767</v>
          </cell>
          <cell r="K348">
            <v>29.651091419655767</v>
          </cell>
          <cell r="L348">
            <v>29.651091419655767</v>
          </cell>
          <cell r="W348" t="str">
            <v>M0560</v>
          </cell>
          <cell r="X348" t="str">
            <v>Desmoldante para formas</v>
          </cell>
          <cell r="Y348" t="str">
            <v>l</v>
          </cell>
          <cell r="Z348">
            <v>8.7004000000000001</v>
          </cell>
          <cell r="AA348">
            <v>0</v>
          </cell>
          <cell r="BC348" t="str">
            <v>M0427</v>
          </cell>
          <cell r="BD348" t="str">
            <v>Cordoalha CP 190 RB - D = 12,7 mm</v>
          </cell>
          <cell r="BE348" t="str">
            <v>kg</v>
          </cell>
          <cell r="BF348">
            <v>8.4602000000000004</v>
          </cell>
          <cell r="BG348">
            <v>0</v>
          </cell>
          <cell r="CC348">
            <v>0</v>
          </cell>
          <cell r="CD348" t="str">
            <v>Pintura de ligação</v>
          </cell>
          <cell r="CE348" t="str">
            <v>m²</v>
          </cell>
          <cell r="CF348">
            <v>2</v>
          </cell>
          <cell r="CG348">
            <v>2</v>
          </cell>
          <cell r="CH348">
            <v>1</v>
          </cell>
          <cell r="CI348">
            <v>4011353</v>
          </cell>
          <cell r="CJ348">
            <v>0.18392808219669335</v>
          </cell>
          <cell r="CK348">
            <v>0.48317907193071341</v>
          </cell>
          <cell r="CL348">
            <v>4011353</v>
          </cell>
          <cell r="CM348">
            <v>0.18912484066666665</v>
          </cell>
          <cell r="CN348">
            <v>0.49683095643133324</v>
          </cell>
        </row>
        <row r="349">
          <cell r="B349">
            <v>5502775</v>
          </cell>
          <cell r="C349" t="str">
            <v>SICRO</v>
          </cell>
          <cell r="D349" t="str">
            <v>Escavação, carga e transporte de material de 3ª categoria - DMT de 1.400 a 1.600 m - caminho de serviço em revestimento primário - com caminhão basculante de 12 m³</v>
          </cell>
          <cell r="E349" t="str">
            <v>m³</v>
          </cell>
          <cell r="F349">
            <v>30.492330799498149</v>
          </cell>
          <cell r="G349">
            <v>30.492330799498149</v>
          </cell>
          <cell r="H349">
            <v>30.492330799498149</v>
          </cell>
          <cell r="I349">
            <v>0</v>
          </cell>
          <cell r="J349">
            <v>30.744916972081739</v>
          </cell>
          <cell r="K349">
            <v>30.744916972081739</v>
          </cell>
          <cell r="L349">
            <v>30.744916972081739</v>
          </cell>
          <cell r="W349" t="str">
            <v>M0310</v>
          </cell>
          <cell r="X349" t="str">
            <v>Peça de madeira de 2,5 x 7,5 cm</v>
          </cell>
          <cell r="Y349" t="str">
            <v>m</v>
          </cell>
          <cell r="Z349">
            <v>2.7349999999999999</v>
          </cell>
          <cell r="AA349">
            <v>0</v>
          </cell>
          <cell r="BC349" t="str">
            <v>M0076</v>
          </cell>
          <cell r="BD349" t="str">
            <v>Disco de corte para policorte - D = 30 cm</v>
          </cell>
          <cell r="BE349" t="str">
            <v>un</v>
          </cell>
          <cell r="BF349">
            <v>12.179500000000001</v>
          </cell>
          <cell r="BG349">
            <v>0</v>
          </cell>
          <cell r="CC349">
            <v>0</v>
          </cell>
          <cell r="CD349" t="str">
            <v>Fornecimento de emulsão RR-1C</v>
          </cell>
          <cell r="CE349" t="str">
            <v>t</v>
          </cell>
          <cell r="CF349" t="str">
            <v>0,00045 t</v>
          </cell>
          <cell r="CG349">
            <v>8.9999999999999998E-4</v>
          </cell>
          <cell r="CH349">
            <v>1</v>
          </cell>
          <cell r="CI349" t="str">
            <v>CPU04</v>
          </cell>
          <cell r="CJ349">
            <v>2511.8507594331254</v>
          </cell>
          <cell r="CK349">
            <v>2.2606656834898127</v>
          </cell>
          <cell r="CL349" t="str">
            <v>CPU04-1</v>
          </cell>
          <cell r="CM349">
            <v>2535.6603093736671</v>
          </cell>
          <cell r="CN349">
            <v>2.2820942784363005</v>
          </cell>
        </row>
        <row r="350">
          <cell r="B350">
            <v>5502802</v>
          </cell>
          <cell r="C350" t="str">
            <v>SICRO</v>
          </cell>
          <cell r="D350" t="str">
            <v>Escavação, carga e transporte de material de 3ª categoria - DMT de 1.600 a 1.800 m - caminho de serviço pavimentado - com</v>
          </cell>
          <cell r="E350" t="str">
            <v>m³</v>
          </cell>
          <cell r="F350">
            <v>29.347734428516652</v>
          </cell>
          <cell r="G350">
            <v>29.347734428516652</v>
          </cell>
          <cell r="H350">
            <v>29.347734428516652</v>
          </cell>
          <cell r="I350">
            <v>0</v>
          </cell>
          <cell r="J350">
            <v>29.612846981906539</v>
          </cell>
          <cell r="K350">
            <v>29.612846981906539</v>
          </cell>
          <cell r="L350">
            <v>29.612846981906539</v>
          </cell>
          <cell r="W350" t="str">
            <v>M0004</v>
          </cell>
          <cell r="X350" t="str">
            <v>Aço CA 50</v>
          </cell>
          <cell r="Y350" t="str">
            <v>kg</v>
          </cell>
          <cell r="Z350">
            <v>3.5476000000000001</v>
          </cell>
          <cell r="AA350">
            <v>0</v>
          </cell>
          <cell r="BC350">
            <v>3816138</v>
          </cell>
          <cell r="BD350" t="str">
            <v xml:space="preserve">Gaiola metálica em cantoneira para contenção de cordoalha </v>
          </cell>
          <cell r="BE350" t="str">
            <v>kg</v>
          </cell>
          <cell r="BF350">
            <v>40.58</v>
          </cell>
          <cell r="BG350">
            <v>0</v>
          </cell>
          <cell r="CC350">
            <v>0</v>
          </cell>
          <cell r="CD350" t="str">
            <v>Pintura de faixa - tinta base acrílica - espessura de 0,6 mm</v>
          </cell>
          <cell r="CE350" t="str">
            <v>m²</v>
          </cell>
          <cell r="CF350" t="str">
            <v>2 faixas cont. + 1 faixa não cont.</v>
          </cell>
          <cell r="CG350">
            <v>4.4871794871794872E-2</v>
          </cell>
          <cell r="CH350">
            <v>1</v>
          </cell>
          <cell r="CI350">
            <v>5213401</v>
          </cell>
          <cell r="CJ350">
            <v>20.390807290896916</v>
          </cell>
          <cell r="CK350">
            <v>1.2018158822830236</v>
          </cell>
          <cell r="CL350">
            <v>5213401</v>
          </cell>
          <cell r="CM350">
            <v>22.71825438768407</v>
          </cell>
          <cell r="CN350">
            <v>1.3389935254330845</v>
          </cell>
        </row>
        <row r="351">
          <cell r="B351">
            <v>5502777</v>
          </cell>
          <cell r="C351" t="str">
            <v>SICRO</v>
          </cell>
          <cell r="D351" t="str">
            <v>Escavação, carga e transporte de material de 3ª categoria - DMT de 1.800 a 2.000 m - caminho de serviço em revestimento</v>
          </cell>
          <cell r="E351" t="str">
            <v>m³</v>
          </cell>
          <cell r="F351">
            <v>30.832155552276681</v>
          </cell>
          <cell r="G351">
            <v>30.832155552276681</v>
          </cell>
          <cell r="H351">
            <v>30.832155552276681</v>
          </cell>
          <cell r="I351">
            <v>0</v>
          </cell>
          <cell r="J351">
            <v>31.089116911824799</v>
          </cell>
          <cell r="K351">
            <v>31.089116911824799</v>
          </cell>
          <cell r="L351">
            <v>31.089116911824799</v>
          </cell>
          <cell r="W351" t="str">
            <v>E9519</v>
          </cell>
          <cell r="X351" t="str">
            <v>Betoneira com motor a gasolina com capacidade de 600 l - 10 kW</v>
          </cell>
          <cell r="Y351" t="str">
            <v>h</v>
          </cell>
          <cell r="Z351">
            <v>39.436500000000002</v>
          </cell>
          <cell r="AA351">
            <v>29.4253</v>
          </cell>
          <cell r="BC351" t="str">
            <v>E9599</v>
          </cell>
          <cell r="BD351" t="str">
            <v>Central de concreto com capacidade de 30 m³/h - dosadora RS</v>
          </cell>
          <cell r="BE351" t="str">
            <v>h</v>
          </cell>
          <cell r="BF351">
            <v>49.816899999999997</v>
          </cell>
          <cell r="BG351">
            <v>45.804900000000004</v>
          </cell>
          <cell r="CC351">
            <v>0</v>
          </cell>
          <cell r="CD351" t="str">
            <v>Tacha refletiva monodirecional - fornecimento e colocação</v>
          </cell>
          <cell r="CE351" t="str">
            <v>un</v>
          </cell>
          <cell r="CF351" t="str">
            <v>3 / 16m / 7,8m largura</v>
          </cell>
          <cell r="CG351">
            <v>2.403846153846154E-2</v>
          </cell>
          <cell r="CH351">
            <v>1</v>
          </cell>
          <cell r="CI351">
            <v>5213359</v>
          </cell>
          <cell r="CJ351">
            <v>12.189996472111552</v>
          </cell>
          <cell r="CK351">
            <v>0.38489327803169532</v>
          </cell>
          <cell r="CL351">
            <v>5213359</v>
          </cell>
          <cell r="CM351">
            <v>14.739324009960159</v>
          </cell>
          <cell r="CN351">
            <v>0.46538706940102564</v>
          </cell>
        </row>
        <row r="352">
          <cell r="B352">
            <v>5502887</v>
          </cell>
          <cell r="C352" t="str">
            <v>SICRO</v>
          </cell>
          <cell r="D352" t="str">
            <v>Escavação, carga e transporte de material de 3ª categoria na distância de 3.000 m - caminho de serviço em revestimento</v>
          </cell>
          <cell r="E352" t="str">
            <v>m³</v>
          </cell>
          <cell r="F352">
            <v>31.908267269408697</v>
          </cell>
          <cell r="G352">
            <v>31.908267269408697</v>
          </cell>
          <cell r="H352">
            <v>31.908267269408697</v>
          </cell>
          <cell r="I352">
            <v>0</v>
          </cell>
          <cell r="J352">
            <v>32.179083387677821</v>
          </cell>
          <cell r="K352">
            <v>32.179083387677821</v>
          </cell>
          <cell r="L352">
            <v>32.179083387677821</v>
          </cell>
          <cell r="W352" t="str">
            <v>E9064</v>
          </cell>
          <cell r="X352" t="str">
            <v>Transportador manual gerica com capacidade de 180 l</v>
          </cell>
          <cell r="Y352" t="str">
            <v>h</v>
          </cell>
          <cell r="Z352">
            <v>0.51329999999999998</v>
          </cell>
          <cell r="AA352">
            <v>0.3488</v>
          </cell>
          <cell r="BC352" t="str">
            <v>M0030</v>
          </cell>
          <cell r="BD352" t="str">
            <v>Aditivo plastificante e retardador tipo Plastiment ou similar</v>
          </cell>
          <cell r="BE352" t="str">
            <v>kg</v>
          </cell>
          <cell r="BF352">
            <v>4.3498000000000001</v>
          </cell>
          <cell r="BG352">
            <v>0</v>
          </cell>
          <cell r="CC352">
            <v>0</v>
          </cell>
          <cell r="CD352" t="str">
            <v>Tacha refletiva metálica com dois pinos - bidirecional - fornecimento e colocação</v>
          </cell>
          <cell r="CE352" t="str">
            <v>un</v>
          </cell>
          <cell r="CF352" t="str">
            <v>não aplicada</v>
          </cell>
          <cell r="CG352">
            <v>0</v>
          </cell>
          <cell r="CH352">
            <v>1</v>
          </cell>
          <cell r="CI352">
            <v>5213395</v>
          </cell>
          <cell r="CJ352">
            <v>32.534966247709477</v>
          </cell>
          <cell r="CK352">
            <v>0</v>
          </cell>
          <cell r="CL352">
            <v>5213395</v>
          </cell>
          <cell r="CM352">
            <v>34.530034902548728</v>
          </cell>
          <cell r="CN352">
            <v>0</v>
          </cell>
        </row>
        <row r="353">
          <cell r="B353">
            <v>5502929</v>
          </cell>
          <cell r="C353" t="str">
            <v>SICRO</v>
          </cell>
          <cell r="D353" t="str">
            <v>Escavação, carga e transporte de solos moles - DMT de 800 a 1.000 m - caminho de serviço em revestimento primário - com</v>
          </cell>
          <cell r="E353" t="str">
            <v>m³</v>
          </cell>
          <cell r="F353">
            <v>11.421110009961783</v>
          </cell>
          <cell r="G353">
            <v>11.421110009961783</v>
          </cell>
          <cell r="H353">
            <v>11.421110009961783</v>
          </cell>
          <cell r="I353">
            <v>0</v>
          </cell>
          <cell r="J353">
            <v>11.4743333414206</v>
          </cell>
          <cell r="K353">
            <v>11.4743333414206</v>
          </cell>
          <cell r="L353">
            <v>11.4743333414206</v>
          </cell>
          <cell r="W353" t="str">
            <v>M0082</v>
          </cell>
          <cell r="X353" t="str">
            <v>Areia média lavada</v>
          </cell>
          <cell r="Y353" t="str">
            <v>m³</v>
          </cell>
          <cell r="Z353">
            <v>83.023099999999999</v>
          </cell>
          <cell r="AA353">
            <v>0</v>
          </cell>
          <cell r="BC353" t="str">
            <v>M0448</v>
          </cell>
          <cell r="BD353" t="str">
            <v>Compensado resinado de 14 mm</v>
          </cell>
          <cell r="BE353" t="str">
            <v>m²</v>
          </cell>
          <cell r="BF353">
            <v>17.133299999999998</v>
          </cell>
          <cell r="BG353">
            <v>0</v>
          </cell>
          <cell r="CC353" t="str">
            <v>R8</v>
          </cell>
          <cell r="CD353" t="str">
            <v xml:space="preserve"> REFORÇO: (8,0cm) CBUQ C/ POLÍMERO</v>
          </cell>
          <cell r="CE353">
            <v>0</v>
          </cell>
          <cell r="CF353">
            <v>0</v>
          </cell>
          <cell r="CG353">
            <v>0</v>
          </cell>
          <cell r="CH353">
            <v>0</v>
          </cell>
          <cell r="CI353">
            <v>0</v>
          </cell>
          <cell r="CJ353">
            <v>0</v>
          </cell>
          <cell r="CK353">
            <v>86.99682135126325</v>
          </cell>
          <cell r="CL353">
            <v>0</v>
          </cell>
          <cell r="CM353">
            <v>0</v>
          </cell>
          <cell r="CN353">
            <v>89.804573210466643</v>
          </cell>
        </row>
        <row r="354">
          <cell r="B354">
            <v>4016096</v>
          </cell>
          <cell r="C354" t="str">
            <v>SICRO</v>
          </cell>
          <cell r="D354" t="str">
            <v>Escavação e carga de material de jazida com escavadeira hidráulica</v>
          </cell>
          <cell r="E354" t="str">
            <v>m³</v>
          </cell>
          <cell r="F354">
            <v>1.0540051168752542</v>
          </cell>
          <cell r="G354">
            <v>1.0540051168752542</v>
          </cell>
          <cell r="H354">
            <v>1.0540051168752542</v>
          </cell>
          <cell r="I354">
            <v>0</v>
          </cell>
          <cell r="J354">
            <v>1.0663139216012287</v>
          </cell>
          <cell r="K354">
            <v>1.0663139216012287</v>
          </cell>
          <cell r="L354">
            <v>1.0663139216012287</v>
          </cell>
          <cell r="W354" t="str">
            <v>M0424</v>
          </cell>
          <cell r="X354" t="str">
            <v>Cimento Portland CP II - 32</v>
          </cell>
          <cell r="Y354" t="str">
            <v>kg</v>
          </cell>
          <cell r="Z354">
            <v>0.39950000000000002</v>
          </cell>
          <cell r="AA354">
            <v>0</v>
          </cell>
          <cell r="BC354" t="str">
            <v>E9702</v>
          </cell>
          <cell r="BD354" t="str">
            <v>Bomba de injeção de argamassa com capacidade de 340 l/min</v>
          </cell>
          <cell r="BE354" t="str">
            <v>h</v>
          </cell>
          <cell r="BF354">
            <v>42.125999999999998</v>
          </cell>
          <cell r="BG354">
            <v>24.573499999999999</v>
          </cell>
          <cell r="CC354" t="str">
            <v>(m²)</v>
          </cell>
          <cell r="CD354" t="str">
            <v>Concreto asfáltico com asfalto polímero - faixa C - areia e brita comerciais</v>
          </cell>
          <cell r="CE354" t="str">
            <v>t</v>
          </cell>
          <cell r="CF354">
            <v>8</v>
          </cell>
          <cell r="CG354">
            <v>0.192</v>
          </cell>
          <cell r="CH354">
            <v>1</v>
          </cell>
          <cell r="CI354">
            <v>4011466</v>
          </cell>
          <cell r="CJ354">
            <v>130.81939260452867</v>
          </cell>
          <cell r="CK354">
            <v>32.991604259721292</v>
          </cell>
          <cell r="CL354">
            <v>4011466</v>
          </cell>
          <cell r="CM354">
            <v>135.10461380032868</v>
          </cell>
          <cell r="CN354">
            <v>34.072302763532484</v>
          </cell>
        </row>
        <row r="355">
          <cell r="B355">
            <v>5915405</v>
          </cell>
          <cell r="C355" t="str">
            <v>SICRO</v>
          </cell>
          <cell r="D355" t="str">
            <v>Carga, manobra e descarga de material de 3ª categoria, rocha ou matacão solto em caminhão basculante de 8 m³ - carga com</v>
          </cell>
          <cell r="E355" t="str">
            <v>t</v>
          </cell>
          <cell r="F355">
            <v>2.9344196797865241</v>
          </cell>
          <cell r="G355">
            <v>2.9344196797865241</v>
          </cell>
          <cell r="H355">
            <v>2.9344196797865241</v>
          </cell>
          <cell r="I355">
            <v>0</v>
          </cell>
          <cell r="J355">
            <v>2.9589550900600399</v>
          </cell>
          <cell r="K355">
            <v>2.9589550900600399</v>
          </cell>
          <cell r="L355">
            <v>2.9589550900600399</v>
          </cell>
          <cell r="W355" t="str">
            <v>E9010</v>
          </cell>
          <cell r="X355" t="str">
            <v>Balança plataforma digital com mesa de 75 x 75 cm com capacidade de 500 kg</v>
          </cell>
          <cell r="Y355" t="str">
            <v>h</v>
          </cell>
          <cell r="Z355">
            <v>0.98850000000000005</v>
          </cell>
          <cell r="AA355">
            <v>0.6633</v>
          </cell>
          <cell r="BC355" t="str">
            <v>E9779</v>
          </cell>
          <cell r="BD355" t="str">
            <v>Grupo gerador - 100/110 kVA</v>
          </cell>
          <cell r="BE355" t="str">
            <v>h</v>
          </cell>
          <cell r="BF355">
            <v>48.408299999999997</v>
          </cell>
          <cell r="BG355">
            <v>3.7734000000000001</v>
          </cell>
          <cell r="CC355">
            <v>0</v>
          </cell>
          <cell r="CD355" t="str">
            <v>Fornecimento de Material Betuminoso c/ polímero SBS</v>
          </cell>
          <cell r="CE355" t="str">
            <v>t</v>
          </cell>
          <cell r="CF355" t="str">
            <v>0,057732 t</v>
          </cell>
          <cell r="CG355">
            <v>1.1084544E-2</v>
          </cell>
          <cell r="CH355">
            <v>1</v>
          </cell>
          <cell r="CI355" t="str">
            <v>CPU10</v>
          </cell>
          <cell r="CJ355">
            <v>4481.4349761078774</v>
          </cell>
          <cell r="CK355">
            <v>49.674663175806714</v>
          </cell>
          <cell r="CL355" t="str">
            <v>CPU10-1</v>
          </cell>
          <cell r="CM355">
            <v>4614.4401264709131</v>
          </cell>
          <cell r="CN355">
            <v>51.148964617232402</v>
          </cell>
        </row>
        <row r="356">
          <cell r="B356">
            <v>5915399</v>
          </cell>
          <cell r="C356" t="str">
            <v>SICRO</v>
          </cell>
          <cell r="D356" t="str">
            <v>Carga, manobra e descarga de agregados ou solos em caminhão basculante de 6 m³ - carga com carregadeira e descarga livre</v>
          </cell>
          <cell r="E356" t="str">
            <v>t</v>
          </cell>
          <cell r="F356">
            <v>1.9130220104997082</v>
          </cell>
          <cell r="G356">
            <v>1.9130220104997082</v>
          </cell>
          <cell r="H356">
            <v>1.9130220104997082</v>
          </cell>
          <cell r="I356">
            <v>0</v>
          </cell>
          <cell r="J356">
            <v>1.9284861948279213</v>
          </cell>
          <cell r="K356">
            <v>1.9284861948279213</v>
          </cell>
          <cell r="L356">
            <v>1.9284861948279213</v>
          </cell>
          <cell r="W356" t="str">
            <v>M0536</v>
          </cell>
          <cell r="X356" t="str">
            <v>Quadro tubular contraventado com acessórios de 1,0 x 1,0 x 1,2 m³ e capacidade de 6 t por poste</v>
          </cell>
          <cell r="Y356" t="str">
            <v>un</v>
          </cell>
          <cell r="Z356">
            <v>488.33330000000001</v>
          </cell>
          <cell r="AA356">
            <v>0</v>
          </cell>
          <cell r="BC356" t="str">
            <v>E9694</v>
          </cell>
          <cell r="BD356" t="str">
            <v>Misturador de argamassa de alta turbulência com capacidade de 220 l</v>
          </cell>
          <cell r="BE356" t="str">
            <v>h</v>
          </cell>
          <cell r="BF356">
            <v>23.846399999999999</v>
          </cell>
          <cell r="BG356">
            <v>22.742599999999999</v>
          </cell>
          <cell r="CC356">
            <v>0</v>
          </cell>
          <cell r="CD356" t="str">
            <v>Pintura de ligação</v>
          </cell>
          <cell r="CE356" t="str">
            <v>m²</v>
          </cell>
          <cell r="CF356">
            <v>2</v>
          </cell>
          <cell r="CG356">
            <v>2</v>
          </cell>
          <cell r="CH356">
            <v>1</v>
          </cell>
          <cell r="CI356">
            <v>4011353</v>
          </cell>
          <cell r="CJ356">
            <v>0.18392808219669335</v>
          </cell>
          <cell r="CK356">
            <v>0.48317907193071341</v>
          </cell>
          <cell r="CL356">
            <v>4011353</v>
          </cell>
          <cell r="CM356">
            <v>0.18912484066666665</v>
          </cell>
          <cell r="CN356">
            <v>0.49683095643133324</v>
          </cell>
        </row>
        <row r="357">
          <cell r="B357">
            <v>5915417</v>
          </cell>
          <cell r="C357" t="str">
            <v>SICRO</v>
          </cell>
          <cell r="D357" t="str">
            <v>Carga, manobra e descarga de brita graduada em caminhão basculante de 10 m³ - carga de usina de solos e descarga na vibro-acabadora</v>
          </cell>
          <cell r="E357" t="str">
            <v>t</v>
          </cell>
          <cell r="F357">
            <v>3.0012149598393578</v>
          </cell>
          <cell r="G357">
            <v>3.0012149598393578</v>
          </cell>
          <cell r="H357">
            <v>3.0012149598393578</v>
          </cell>
          <cell r="I357">
            <v>0</v>
          </cell>
          <cell r="J357">
            <v>3.0143333333333331</v>
          </cell>
          <cell r="K357">
            <v>3.0143333333333331</v>
          </cell>
          <cell r="L357">
            <v>3.0143333333333331</v>
          </cell>
          <cell r="W357" t="str">
            <v>E9647</v>
          </cell>
          <cell r="X357" t="str">
            <v>Compactador manual com soquete vibratório - 4,1 kW</v>
          </cell>
          <cell r="Y357" t="str">
            <v>h</v>
          </cell>
          <cell r="Z357">
            <v>4.8495999999999997</v>
          </cell>
          <cell r="AA357">
            <v>0.64839999999999998</v>
          </cell>
          <cell r="BC357" t="str">
            <v>E9642</v>
          </cell>
          <cell r="BD357" t="str">
            <v>Perfuratriz hidráulica sobre esteiras para estaca raiz - 56 kW</v>
          </cell>
          <cell r="BE357" t="str">
            <v>h</v>
          </cell>
          <cell r="BF357">
            <v>156.14330000000001</v>
          </cell>
          <cell r="BG357">
            <v>84.222399999999993</v>
          </cell>
          <cell r="CC357">
            <v>0</v>
          </cell>
          <cell r="CD357" t="str">
            <v>Fornecimento de emulsão RR-1C</v>
          </cell>
          <cell r="CE357" t="str">
            <v>t</v>
          </cell>
          <cell r="CF357" t="str">
            <v>0,00045 t</v>
          </cell>
          <cell r="CG357">
            <v>8.9999999999999998E-4</v>
          </cell>
          <cell r="CH357">
            <v>1</v>
          </cell>
          <cell r="CI357" t="str">
            <v>CPU04</v>
          </cell>
          <cell r="CJ357">
            <v>2511.8507594331254</v>
          </cell>
          <cell r="CK357">
            <v>2.2606656834898127</v>
          </cell>
          <cell r="CL357" t="str">
            <v>CPU04-1</v>
          </cell>
          <cell r="CM357">
            <v>2535.6603093736671</v>
          </cell>
          <cell r="CN357">
            <v>2.2820942784363005</v>
          </cell>
        </row>
        <row r="358">
          <cell r="B358">
            <v>5914649</v>
          </cell>
          <cell r="C358" t="str">
            <v>SICRO</v>
          </cell>
          <cell r="D358" t="str">
            <v>Carga, manobra e descarga de mistura betuminosa a quente em caminhão basculante de 10 m³ - carga de usina de asfalto 90/120 t/h e descarga em vibro-acabadora</v>
          </cell>
          <cell r="E358" t="str">
            <v>t</v>
          </cell>
          <cell r="F358">
            <v>7.0895864578313246</v>
          </cell>
          <cell r="G358">
            <v>7.0895864578313246</v>
          </cell>
          <cell r="H358">
            <v>7.0895864578313246</v>
          </cell>
          <cell r="I358">
            <v>0</v>
          </cell>
          <cell r="J358">
            <v>7.1194872289156619</v>
          </cell>
          <cell r="K358">
            <v>7.1194872289156619</v>
          </cell>
          <cell r="L358">
            <v>7.1194872289156619</v>
          </cell>
          <cell r="W358" t="str">
            <v>M0442</v>
          </cell>
          <cell r="X358" t="str">
            <v>Compensado plastificado de 10 mm</v>
          </cell>
          <cell r="Y358" t="str">
            <v>m²</v>
          </cell>
          <cell r="Z358">
            <v>19.777999999999999</v>
          </cell>
          <cell r="AA358">
            <v>0</v>
          </cell>
          <cell r="BC358" t="str">
            <v>M2321</v>
          </cell>
          <cell r="BD358" t="str">
            <v>Revestimento para estaca raiz SCH 80 - D Externo = 323,8 mm - 132,04 kg/m</v>
          </cell>
          <cell r="BE358" t="str">
            <v>m</v>
          </cell>
          <cell r="BF358">
            <v>1504.5</v>
          </cell>
          <cell r="BG358">
            <v>0</v>
          </cell>
          <cell r="CC358">
            <v>0</v>
          </cell>
          <cell r="CD358" t="str">
            <v>Pintura de faixa - tinta base acrílica - espessura de 0,6 mm</v>
          </cell>
          <cell r="CE358" t="str">
            <v>m²</v>
          </cell>
          <cell r="CF358" t="str">
            <v>2 faixas cont. + 1 faixa não cont.</v>
          </cell>
          <cell r="CG358">
            <v>4.4871794871794872E-2</v>
          </cell>
          <cell r="CH358">
            <v>1</v>
          </cell>
          <cell r="CI358">
            <v>5213401</v>
          </cell>
          <cell r="CJ358">
            <v>20.390807290896916</v>
          </cell>
          <cell r="CK358">
            <v>1.2018158822830236</v>
          </cell>
          <cell r="CL358">
            <v>5213401</v>
          </cell>
          <cell r="CM358">
            <v>22.71825438768407</v>
          </cell>
          <cell r="CN358">
            <v>1.3389935254330845</v>
          </cell>
        </row>
        <row r="359">
          <cell r="B359">
            <v>5914675</v>
          </cell>
          <cell r="C359" t="str">
            <v>SICRO</v>
          </cell>
          <cell r="D359" t="str">
            <v>Carga, manobra e descarga de demolição de concreto asfáltico ou concreto cimento solto em caminhão basculante de 6 m³ -</v>
          </cell>
          <cell r="E359" t="str">
            <v>t</v>
          </cell>
          <cell r="F359">
            <v>2.6867131243437825</v>
          </cell>
          <cell r="G359">
            <v>2.6867131243437825</v>
          </cell>
          <cell r="H359">
            <v>2.6867131243437825</v>
          </cell>
          <cell r="I359">
            <v>0</v>
          </cell>
          <cell r="J359">
            <v>2.7069790010499473</v>
          </cell>
          <cell r="K359">
            <v>2.7069790010499473</v>
          </cell>
          <cell r="L359">
            <v>2.7069790010499473</v>
          </cell>
          <cell r="W359">
            <v>1110000</v>
          </cell>
          <cell r="X359" t="str">
            <v xml:space="preserve">Concreto </v>
          </cell>
          <cell r="Y359" t="str">
            <v>m³</v>
          </cell>
          <cell r="Z359">
            <v>0</v>
          </cell>
          <cell r="AA359">
            <v>0</v>
          </cell>
          <cell r="BC359" t="str">
            <v>E9102</v>
          </cell>
          <cell r="BD359" t="str">
            <v>Extrusora para sarjeta de concreto - 10,44 kW</v>
          </cell>
          <cell r="BE359" t="str">
            <v>h</v>
          </cell>
          <cell r="BF359">
            <v>33.089300000000001</v>
          </cell>
          <cell r="BG359">
            <v>25.043800000000001</v>
          </cell>
          <cell r="CC359">
            <v>0</v>
          </cell>
          <cell r="CD359" t="str">
            <v>Tacha refletiva monodirecional - fornecimento e colocação</v>
          </cell>
          <cell r="CE359" t="str">
            <v>un</v>
          </cell>
          <cell r="CF359" t="str">
            <v>3 / 16m / 7,8m largura</v>
          </cell>
          <cell r="CG359">
            <v>2.403846153846154E-2</v>
          </cell>
          <cell r="CH359">
            <v>1</v>
          </cell>
          <cell r="CI359">
            <v>5213359</v>
          </cell>
          <cell r="CJ359">
            <v>12.189996472111552</v>
          </cell>
          <cell r="CK359">
            <v>0.38489327803169532</v>
          </cell>
          <cell r="CL359">
            <v>5213359</v>
          </cell>
          <cell r="CM359">
            <v>14.739324009960159</v>
          </cell>
          <cell r="CN359">
            <v>0.46538706940102564</v>
          </cell>
        </row>
        <row r="360">
          <cell r="B360">
            <v>5915373</v>
          </cell>
          <cell r="C360" t="str">
            <v>SICRO</v>
          </cell>
          <cell r="D360" t="str">
            <v>Carga, manobra e descarga de materiais diversos em caminhão carroceria com guindauto com capacidade de 20 t.m</v>
          </cell>
          <cell r="E360" t="str">
            <v>t</v>
          </cell>
          <cell r="F360">
            <v>9.1621942758022552</v>
          </cell>
          <cell r="G360">
            <v>9.1621942758022552</v>
          </cell>
          <cell r="H360">
            <v>9.1621942758022552</v>
          </cell>
          <cell r="I360">
            <v>0</v>
          </cell>
          <cell r="J360">
            <v>9.5091847354726813</v>
          </cell>
          <cell r="K360">
            <v>9.5091847354726813</v>
          </cell>
          <cell r="L360">
            <v>9.5091847354726813</v>
          </cell>
          <cell r="W360">
            <v>1600989</v>
          </cell>
          <cell r="X360" t="str">
            <v xml:space="preserve">Demolição de concreto simples com martelete </v>
          </cell>
          <cell r="Y360" t="str">
            <v>m³</v>
          </cell>
          <cell r="Z360">
            <v>322.01</v>
          </cell>
          <cell r="AA360">
            <v>0</v>
          </cell>
          <cell r="BC360">
            <v>1107928</v>
          </cell>
          <cell r="BD360" t="str">
            <v xml:space="preserve">Concreto fck = 20 MPa - confecção em central dosadora de 30 m³/h - areia e brita comerciais  </v>
          </cell>
          <cell r="BE360" t="str">
            <v>m³</v>
          </cell>
          <cell r="BF360">
            <v>238.36</v>
          </cell>
          <cell r="BG360">
            <v>0</v>
          </cell>
          <cell r="CC360">
            <v>0</v>
          </cell>
          <cell r="CD360" t="str">
            <v>Tacha refletiva metálica com dois pinos - bidirecional - fornecimento e colocação</v>
          </cell>
          <cell r="CE360" t="str">
            <v>un</v>
          </cell>
          <cell r="CF360" t="str">
            <v>não aplicada</v>
          </cell>
          <cell r="CG360">
            <v>0</v>
          </cell>
          <cell r="CH360">
            <v>1</v>
          </cell>
          <cell r="CI360">
            <v>5213395</v>
          </cell>
          <cell r="CJ360">
            <v>32.534966247709477</v>
          </cell>
          <cell r="CK360">
            <v>0</v>
          </cell>
          <cell r="CL360">
            <v>5213395</v>
          </cell>
          <cell r="CM360">
            <v>34.530034902548728</v>
          </cell>
          <cell r="CN360">
            <v>0</v>
          </cell>
        </row>
        <row r="361">
          <cell r="B361">
            <v>5914374</v>
          </cell>
          <cell r="C361" t="str">
            <v>SICRO</v>
          </cell>
          <cell r="D361" t="str">
            <v>Transporte com caminhão basculante de 10 m³ - rodovia com revestimento primário</v>
          </cell>
          <cell r="E361" t="str">
            <v>tkm</v>
          </cell>
          <cell r="F361">
            <v>0.55145094725140564</v>
          </cell>
          <cell r="G361">
            <v>0.55145094725140564</v>
          </cell>
          <cell r="H361">
            <v>0.55145094725140564</v>
          </cell>
          <cell r="I361">
            <v>0</v>
          </cell>
          <cell r="J361">
            <v>0.55249860723534128</v>
          </cell>
          <cell r="K361">
            <v>0.55249860723534128</v>
          </cell>
          <cell r="L361">
            <v>0.55249860723534128</v>
          </cell>
          <cell r="W361">
            <v>4915668</v>
          </cell>
          <cell r="X361" t="str">
            <v xml:space="preserve">Remoção manual de revestimento betuminoso </v>
          </cell>
          <cell r="Y361" t="str">
            <v>m³</v>
          </cell>
          <cell r="Z361">
            <v>347.68</v>
          </cell>
          <cell r="AA361">
            <v>0</v>
          </cell>
          <cell r="BC361">
            <v>5919534</v>
          </cell>
          <cell r="BD361">
            <v>0</v>
          </cell>
          <cell r="BE361" t="str">
            <v>t</v>
          </cell>
          <cell r="BF361">
            <v>25.9</v>
          </cell>
          <cell r="BG361">
            <v>0</v>
          </cell>
          <cell r="CC361" t="str">
            <v>R9</v>
          </cell>
          <cell r="CD361" t="str">
            <v xml:space="preserve"> REFORÇO: (9,0cm) CBUQ C/ POLÍMERO</v>
          </cell>
          <cell r="CE361">
            <v>0</v>
          </cell>
          <cell r="CF361">
            <v>0</v>
          </cell>
          <cell r="CG361">
            <v>0</v>
          </cell>
          <cell r="CH361">
            <v>0</v>
          </cell>
          <cell r="CI361">
            <v>0</v>
          </cell>
          <cell r="CJ361">
            <v>0</v>
          </cell>
          <cell r="CK361">
            <v>97.330104780704261</v>
          </cell>
          <cell r="CL361">
            <v>0</v>
          </cell>
          <cell r="CM361">
            <v>0</v>
          </cell>
          <cell r="CN361">
            <v>100.45723163306226</v>
          </cell>
        </row>
        <row r="362">
          <cell r="B362">
            <v>5915320</v>
          </cell>
          <cell r="C362" t="str">
            <v>SICRO</v>
          </cell>
          <cell r="D362" t="str">
            <v>Transporte com caminhão basculante de 14 m³ - rodovia com revestimento primário</v>
          </cell>
          <cell r="E362" t="str">
            <v>tkm</v>
          </cell>
          <cell r="F362">
            <v>0.39731107286288009</v>
          </cell>
          <cell r="G362">
            <v>0.39731107286288009</v>
          </cell>
          <cell r="H362">
            <v>0.39731107286288009</v>
          </cell>
          <cell r="I362">
            <v>0</v>
          </cell>
          <cell r="J362">
            <v>0.39887320711417096</v>
          </cell>
          <cell r="K362">
            <v>0.39887320711417096</v>
          </cell>
          <cell r="L362">
            <v>0.39887320711417096</v>
          </cell>
          <cell r="W362">
            <v>307737</v>
          </cell>
          <cell r="X362" t="str">
            <v>Junta de dilatação em perfil extrudado de borracha vulcanizada de 50 x 80 mm - fornecimento e instalação</v>
          </cell>
          <cell r="Y362" t="str">
            <v>m</v>
          </cell>
          <cell r="Z362">
            <v>1298.67</v>
          </cell>
          <cell r="AA362">
            <v>0</v>
          </cell>
          <cell r="BC362" t="str">
            <v>M1429</v>
          </cell>
          <cell r="BD362" t="str">
            <v>Tábua de pinho de terceira - E = 2,5 cm</v>
          </cell>
          <cell r="BE362" t="str">
            <v>m²</v>
          </cell>
          <cell r="BF362">
            <v>26.284800000000001</v>
          </cell>
          <cell r="BG362">
            <v>0</v>
          </cell>
          <cell r="CC362" t="str">
            <v>(m²)</v>
          </cell>
          <cell r="CD362" t="str">
            <v>Concreto asfáltico com asfalto polímero - faixa C - areia e brita comerciais</v>
          </cell>
          <cell r="CE362" t="str">
            <v>t</v>
          </cell>
          <cell r="CF362">
            <v>9</v>
          </cell>
          <cell r="CG362">
            <v>0.216</v>
          </cell>
          <cell r="CH362">
            <v>1</v>
          </cell>
          <cell r="CI362">
            <v>4011466</v>
          </cell>
          <cell r="CJ362">
            <v>130.81939260452867</v>
          </cell>
          <cell r="CK362">
            <v>37.115554792186451</v>
          </cell>
          <cell r="CL362">
            <v>4011466</v>
          </cell>
          <cell r="CM362">
            <v>135.10461380032868</v>
          </cell>
          <cell r="CN362">
            <v>38.331340608974052</v>
          </cell>
        </row>
        <row r="363">
          <cell r="B363">
            <v>5914389</v>
          </cell>
          <cell r="C363" t="str">
            <v>SICRO</v>
          </cell>
          <cell r="D363" t="str">
            <v>Transporte com caminhão basculante de 10 m³ - rodovia pavimentada</v>
          </cell>
          <cell r="E363" t="str">
            <v>tkm</v>
          </cell>
          <cell r="F363">
            <v>0.4473825970548862</v>
          </cell>
          <cell r="G363">
            <v>0.4473825970548862</v>
          </cell>
          <cell r="H363">
            <v>0.4473825970548862</v>
          </cell>
          <cell r="I363">
            <v>0</v>
          </cell>
          <cell r="J363">
            <v>0.44979143239625163</v>
          </cell>
          <cell r="K363">
            <v>0.44979143239625163</v>
          </cell>
          <cell r="L363">
            <v>0.44979143239625163</v>
          </cell>
          <cell r="W363">
            <v>307084</v>
          </cell>
          <cell r="X363" t="str">
            <v>Lábios poliméricos 20 x 30 mm em junta de pavimento de concreto - confecção e assentamento</v>
          </cell>
          <cell r="Y363" t="str">
            <v>m</v>
          </cell>
          <cell r="Z363">
            <v>27.97</v>
          </cell>
          <cell r="AA363">
            <v>0</v>
          </cell>
          <cell r="BC363" t="str">
            <v>M3234</v>
          </cell>
          <cell r="BD363" t="str">
            <v>Cantoneira em aço de abas iguais de 1 1/4" x 1/8"</v>
          </cell>
          <cell r="BE363" t="str">
            <v>m</v>
          </cell>
          <cell r="BF363">
            <v>7.8422999999999998</v>
          </cell>
          <cell r="BG363">
            <v>0</v>
          </cell>
          <cell r="CC363">
            <v>0</v>
          </cell>
          <cell r="CD363" t="str">
            <v>Fornecimento de Material Betuminoso c/ polímero SBS</v>
          </cell>
          <cell r="CE363" t="str">
            <v>t</v>
          </cell>
          <cell r="CF363" t="str">
            <v>0,057732 t</v>
          </cell>
          <cell r="CG363">
            <v>1.2470112E-2</v>
          </cell>
          <cell r="CH363">
            <v>1</v>
          </cell>
          <cell r="CI363" t="str">
            <v>CPU10</v>
          </cell>
          <cell r="CJ363">
            <v>4481.4349761078774</v>
          </cell>
          <cell r="CK363">
            <v>55.883996072782558</v>
          </cell>
          <cell r="CL363" t="str">
            <v>CPU10-1</v>
          </cell>
          <cell r="CM363">
            <v>4614.4401264709131</v>
          </cell>
          <cell r="CN363">
            <v>57.542585194386454</v>
          </cell>
        </row>
        <row r="364">
          <cell r="B364">
            <v>5915321</v>
          </cell>
          <cell r="C364" t="str">
            <v>SICRO</v>
          </cell>
          <cell r="D364" t="str">
            <v>Transporte com caminhão basculante de 14 m³ - rodovia pavimentada</v>
          </cell>
          <cell r="E364" t="str">
            <v>tkm</v>
          </cell>
          <cell r="F364">
            <v>0.31312769035992044</v>
          </cell>
          <cell r="G364">
            <v>0.31312769035992044</v>
          </cell>
          <cell r="H364">
            <v>0.31312769035992044</v>
          </cell>
          <cell r="I364">
            <v>0</v>
          </cell>
          <cell r="J364">
            <v>0.31435883523241093</v>
          </cell>
          <cell r="K364">
            <v>0.31435883523241093</v>
          </cell>
          <cell r="L364">
            <v>0.31435883523241093</v>
          </cell>
          <cell r="W364" t="str">
            <v>E9046</v>
          </cell>
          <cell r="X364" t="str">
            <v>Conjunto bomba e macaco hidráulico para elevação com capacidade de 980 kN</v>
          </cell>
          <cell r="Y364" t="str">
            <v>h</v>
          </cell>
          <cell r="Z364">
            <v>45.231999999999999</v>
          </cell>
          <cell r="AA364">
            <v>41.078099999999999</v>
          </cell>
          <cell r="BC364">
            <v>5213436</v>
          </cell>
          <cell r="BD364" t="str">
            <v xml:space="preserve">Confecção de placa em aluminio, espessura de 1,5 mm, modulada, aérea, com película retrorrefletiva tipo III + X  </v>
          </cell>
          <cell r="BE364" t="str">
            <v>m²</v>
          </cell>
          <cell r="BF364">
            <v>581.71</v>
          </cell>
          <cell r="BG364">
            <v>0</v>
          </cell>
          <cell r="CC364">
            <v>0</v>
          </cell>
          <cell r="CD364" t="str">
            <v>Pintura de ligação</v>
          </cell>
          <cell r="CE364" t="str">
            <v>m²</v>
          </cell>
          <cell r="CF364">
            <v>2</v>
          </cell>
          <cell r="CG364">
            <v>2</v>
          </cell>
          <cell r="CH364">
            <v>1</v>
          </cell>
          <cell r="CI364">
            <v>4011353</v>
          </cell>
          <cell r="CJ364">
            <v>0.18392808219669335</v>
          </cell>
          <cell r="CK364">
            <v>0.48317907193071341</v>
          </cell>
          <cell r="CL364">
            <v>4011353</v>
          </cell>
          <cell r="CM364">
            <v>0.18912484066666665</v>
          </cell>
          <cell r="CN364">
            <v>0.49683095643133324</v>
          </cell>
        </row>
        <row r="365">
          <cell r="B365">
            <v>6817795</v>
          </cell>
          <cell r="C365" t="str">
            <v>SICRO</v>
          </cell>
          <cell r="D365" t="str">
            <v>Confecção de BSCC - seção 3,0 x 3,0 m fechada - tipo I - areia e brita comerciais</v>
          </cell>
          <cell r="E365" t="str">
            <v>m</v>
          </cell>
          <cell r="F365">
            <v>2208.7913203147973</v>
          </cell>
          <cell r="G365">
            <v>2208.7913203147973</v>
          </cell>
          <cell r="H365">
            <v>2208.7913203147973</v>
          </cell>
          <cell r="I365">
            <v>0</v>
          </cell>
          <cell r="J365">
            <v>2291.4159344950044</v>
          </cell>
          <cell r="K365">
            <v>2291.4159344950044</v>
          </cell>
          <cell r="L365">
            <v>2291.4159344950044</v>
          </cell>
          <cell r="W365" t="str">
            <v>P9802</v>
          </cell>
          <cell r="X365" t="str">
            <v>Ajudante especializado</v>
          </cell>
          <cell r="Y365" t="str">
            <v>h</v>
          </cell>
          <cell r="Z365">
            <v>26.7636</v>
          </cell>
          <cell r="AA365">
            <v>0</v>
          </cell>
          <cell r="BC365" t="str">
            <v>M0818</v>
          </cell>
          <cell r="BD365" t="str">
            <v>Semi-pórtico metálico para vão de 8,3 m e vento de 40 m/s</v>
          </cell>
          <cell r="BE365" t="str">
            <v>un</v>
          </cell>
          <cell r="BF365">
            <v>25910.762599999998</v>
          </cell>
          <cell r="BG365">
            <v>0</v>
          </cell>
          <cell r="CC365">
            <v>0</v>
          </cell>
          <cell r="CD365" t="str">
            <v>Fornecimento de emulsão RR-1C</v>
          </cell>
          <cell r="CE365" t="str">
            <v>t</v>
          </cell>
          <cell r="CF365" t="str">
            <v>0,00045 t</v>
          </cell>
          <cell r="CG365">
            <v>8.9999999999999998E-4</v>
          </cell>
          <cell r="CH365">
            <v>1</v>
          </cell>
          <cell r="CI365" t="str">
            <v>CPU04</v>
          </cell>
          <cell r="CJ365">
            <v>2511.8507594331254</v>
          </cell>
          <cell r="CK365">
            <v>2.2606656834898127</v>
          </cell>
          <cell r="CL365" t="str">
            <v>CPU04-1</v>
          </cell>
          <cell r="CM365">
            <v>2535.6603093736671</v>
          </cell>
          <cell r="CN365">
            <v>2.2820942784363005</v>
          </cell>
        </row>
        <row r="366">
          <cell r="B366">
            <v>6817829</v>
          </cell>
          <cell r="C366" t="str">
            <v>SICRO</v>
          </cell>
          <cell r="D366" t="str">
            <v>Corpo BSCC - seção 1,5 x 1,5 m fechada - pré-moldado - tipo I - areia e brita comerciais</v>
          </cell>
          <cell r="E366" t="str">
            <v>m</v>
          </cell>
          <cell r="F366">
            <v>1062.7619121949999</v>
          </cell>
          <cell r="G366">
            <v>1062.7619121949999</v>
          </cell>
          <cell r="H366">
            <v>1062.7619121949999</v>
          </cell>
          <cell r="I366">
            <v>0</v>
          </cell>
          <cell r="J366">
            <v>1107.1765021239999</v>
          </cell>
          <cell r="K366">
            <v>1107.1765021239999</v>
          </cell>
          <cell r="L366">
            <v>1107.1765021239999</v>
          </cell>
          <cell r="W366" t="str">
            <v>M0064</v>
          </cell>
          <cell r="X366" t="str">
            <v>Apoio de neoprene fretado de 150 x 200 x 35 mm</v>
          </cell>
          <cell r="Y366" t="str">
            <v>un</v>
          </cell>
          <cell r="Z366">
            <v>78.996200000000002</v>
          </cell>
          <cell r="AA366">
            <v>0</v>
          </cell>
          <cell r="BC366" t="str">
            <v>M0081</v>
          </cell>
          <cell r="BD366" t="str">
            <v>Areia grossa</v>
          </cell>
          <cell r="BE366" t="str">
            <v>m³</v>
          </cell>
          <cell r="BF366">
            <v>72.8489</v>
          </cell>
          <cell r="BG366">
            <v>0</v>
          </cell>
          <cell r="CC366">
            <v>0</v>
          </cell>
          <cell r="CD366" t="str">
            <v>Pintura de faixa - tinta base acrílica - espessura de 0,6 mm</v>
          </cell>
          <cell r="CE366" t="str">
            <v>m²</v>
          </cell>
          <cell r="CF366" t="str">
            <v>2 faixas cont. + 1 faixa não cont.</v>
          </cell>
          <cell r="CG366">
            <v>4.4871794871794872E-2</v>
          </cell>
          <cell r="CH366">
            <v>1</v>
          </cell>
          <cell r="CI366">
            <v>5213401</v>
          </cell>
          <cell r="CJ366">
            <v>20.390807290896916</v>
          </cell>
          <cell r="CK366">
            <v>1.2018158822830236</v>
          </cell>
          <cell r="CL366">
            <v>5213401</v>
          </cell>
          <cell r="CM366">
            <v>22.71825438768407</v>
          </cell>
          <cell r="CN366">
            <v>1.3389935254330845</v>
          </cell>
        </row>
        <row r="367">
          <cell r="B367">
            <v>6817871</v>
          </cell>
          <cell r="C367" t="str">
            <v>SICRO</v>
          </cell>
          <cell r="D367" t="str">
            <v>Corpo BSCC - seção 3,0 x 3,0 m fechada - pré-moldado - tipo I - areia e brita comerciais</v>
          </cell>
          <cell r="E367" t="str">
            <v>m</v>
          </cell>
          <cell r="F367">
            <v>2626.2998236130002</v>
          </cell>
          <cell r="G367">
            <v>2626.2998236130002</v>
          </cell>
          <cell r="H367">
            <v>2626.2998236130002</v>
          </cell>
          <cell r="I367">
            <v>0</v>
          </cell>
          <cell r="J367">
            <v>2723.9756237250003</v>
          </cell>
          <cell r="K367">
            <v>2723.9756237250003</v>
          </cell>
          <cell r="L367">
            <v>2723.9756237250003</v>
          </cell>
          <cell r="W367" t="str">
            <v>E9706</v>
          </cell>
          <cell r="X367" t="str">
            <v>Martelete perfurador/rompedor a ar comprimido de 28 kg</v>
          </cell>
          <cell r="Y367" t="str">
            <v>h</v>
          </cell>
          <cell r="Z367">
            <v>30.269200000000001</v>
          </cell>
          <cell r="AA367">
            <v>29.1433</v>
          </cell>
          <cell r="BC367" t="str">
            <v>M0103</v>
          </cell>
          <cell r="BD367" t="str">
            <v>Aditivo antirricochete para concreto projetado</v>
          </cell>
          <cell r="BE367" t="str">
            <v>kg</v>
          </cell>
          <cell r="BF367">
            <v>4.9496000000000002</v>
          </cell>
          <cell r="BG367">
            <v>0</v>
          </cell>
          <cell r="CC367">
            <v>0</v>
          </cell>
          <cell r="CD367" t="str">
            <v>Tacha refletiva monodirecional - fornecimento e colocação</v>
          </cell>
          <cell r="CE367" t="str">
            <v>un</v>
          </cell>
          <cell r="CF367" t="str">
            <v>3 / 16m / 7,8m largura</v>
          </cell>
          <cell r="CG367">
            <v>2.403846153846154E-2</v>
          </cell>
          <cell r="CH367">
            <v>1</v>
          </cell>
          <cell r="CI367">
            <v>5213359</v>
          </cell>
          <cell r="CJ367">
            <v>12.189996472111552</v>
          </cell>
          <cell r="CK367">
            <v>0.38489327803169532</v>
          </cell>
          <cell r="CL367">
            <v>5213359</v>
          </cell>
          <cell r="CM367">
            <v>14.739324009960159</v>
          </cell>
          <cell r="CN367">
            <v>0.46538706940102564</v>
          </cell>
        </row>
        <row r="368">
          <cell r="B368">
            <v>4011480</v>
          </cell>
          <cell r="C368" t="str">
            <v>SICRO</v>
          </cell>
          <cell r="D368" t="str">
            <v>Fresagem descontínua de revestimento betuminoso</v>
          </cell>
          <cell r="E368" t="str">
            <v>m³</v>
          </cell>
          <cell r="F368">
            <v>50.02322121102204</v>
          </cell>
          <cell r="G368">
            <v>50.02322121102204</v>
          </cell>
          <cell r="H368">
            <v>50.02322121102204</v>
          </cell>
          <cell r="I368">
            <v>0</v>
          </cell>
          <cell r="J368">
            <v>50.377443150593948</v>
          </cell>
          <cell r="K368">
            <v>50.377443150593948</v>
          </cell>
          <cell r="L368">
            <v>50.377443150593948</v>
          </cell>
          <cell r="W368" t="str">
            <v>E9591</v>
          </cell>
          <cell r="X368" t="str">
            <v>Serra para corte de concreto e asfalto - 10 kW</v>
          </cell>
          <cell r="Y368" t="str">
            <v>h</v>
          </cell>
          <cell r="Z368">
            <v>10.9437</v>
          </cell>
          <cell r="AA368">
            <v>1.1372</v>
          </cell>
          <cell r="BC368" t="str">
            <v>M0005</v>
          </cell>
          <cell r="BD368" t="str">
            <v>Brita 0</v>
          </cell>
          <cell r="BE368" t="str">
            <v>m³</v>
          </cell>
          <cell r="BF368">
            <v>80.881299999999996</v>
          </cell>
          <cell r="BG368">
            <v>0</v>
          </cell>
          <cell r="CC368">
            <v>0</v>
          </cell>
          <cell r="CD368" t="str">
            <v>Tacha refletiva metálica com dois pinos - bidirecional - fornecimento e colocação</v>
          </cell>
          <cell r="CE368" t="str">
            <v>un</v>
          </cell>
          <cell r="CF368" t="str">
            <v>não aplicada</v>
          </cell>
          <cell r="CG368">
            <v>0</v>
          </cell>
          <cell r="CH368">
            <v>1</v>
          </cell>
          <cell r="CI368">
            <v>5213395</v>
          </cell>
          <cell r="CJ368">
            <v>32.534966247709477</v>
          </cell>
          <cell r="CK368">
            <v>0</v>
          </cell>
          <cell r="CL368">
            <v>5213395</v>
          </cell>
          <cell r="CM368">
            <v>34.530034902548728</v>
          </cell>
          <cell r="CN368">
            <v>0</v>
          </cell>
        </row>
        <row r="369">
          <cell r="B369">
            <v>5914352</v>
          </cell>
          <cell r="C369" t="str">
            <v>SICRO</v>
          </cell>
          <cell r="D369" t="str">
            <v>Carga, manobra e descarga de fresagem descontínua solto em caminhão basculante de 10 m³ - descarga livre</v>
          </cell>
          <cell r="E369" t="str">
            <v>t</v>
          </cell>
          <cell r="F369">
            <v>9.5557393778452191</v>
          </cell>
          <cell r="G369">
            <v>9.5557393778452191</v>
          </cell>
          <cell r="H369">
            <v>9.5557393778452191</v>
          </cell>
          <cell r="I369">
            <v>0</v>
          </cell>
          <cell r="J369">
            <v>9.5803793626707137</v>
          </cell>
          <cell r="K369">
            <v>9.5803793626707137</v>
          </cell>
          <cell r="L369">
            <v>9.5803793626707137</v>
          </cell>
          <cell r="W369">
            <v>1107900</v>
          </cell>
          <cell r="X369" t="str">
            <v xml:space="preserve">Concreto fck = 30 MPa - confecção em betoneira e lançamento manual - areia e brita comerciais </v>
          </cell>
          <cell r="Y369" t="str">
            <v>m³</v>
          </cell>
          <cell r="Z369">
            <v>365.7</v>
          </cell>
          <cell r="AA369">
            <v>0</v>
          </cell>
          <cell r="BC369" t="str">
            <v>M0010</v>
          </cell>
          <cell r="BD369" t="str">
            <v>Superplastificante</v>
          </cell>
          <cell r="BE369" t="str">
            <v>l</v>
          </cell>
          <cell r="BF369">
            <v>9.6256000000000004</v>
          </cell>
          <cell r="BG369">
            <v>0</v>
          </cell>
          <cell r="CC369" t="str">
            <v>R10</v>
          </cell>
          <cell r="CD369" t="str">
            <v xml:space="preserve"> REFORÇO: (10,0cm) CBUQ C/ POLÍMERO</v>
          </cell>
          <cell r="CE369">
            <v>0</v>
          </cell>
          <cell r="CF369">
            <v>0</v>
          </cell>
          <cell r="CG369">
            <v>0</v>
          </cell>
          <cell r="CH369">
            <v>0</v>
          </cell>
          <cell r="CI369">
            <v>0</v>
          </cell>
          <cell r="CJ369">
            <v>0</v>
          </cell>
          <cell r="CK369">
            <v>107.66338821014526</v>
          </cell>
          <cell r="CL369">
            <v>0</v>
          </cell>
          <cell r="CM369">
            <v>0</v>
          </cell>
          <cell r="CN369">
            <v>111.10989005565786</v>
          </cell>
        </row>
        <row r="370">
          <cell r="B370">
            <v>5914335</v>
          </cell>
          <cell r="C370" t="str">
            <v>SICRO</v>
          </cell>
          <cell r="D370" t="str">
            <v>Transporte com caminhão basculante de 12m³ - rodovia em revestimento primário</v>
          </cell>
          <cell r="E370" t="str">
            <v>tkm</v>
          </cell>
          <cell r="F370">
            <v>0.49810144567068276</v>
          </cell>
          <cell r="G370">
            <v>0.49810144567068276</v>
          </cell>
          <cell r="H370">
            <v>0.49810144567068276</v>
          </cell>
          <cell r="I370">
            <v>0</v>
          </cell>
          <cell r="J370">
            <v>0.49824066306827308</v>
          </cell>
          <cell r="K370">
            <v>0.49824066306827308</v>
          </cell>
          <cell r="L370">
            <v>0.49824066306827308</v>
          </cell>
          <cell r="W370" t="str">
            <v>M0721</v>
          </cell>
          <cell r="X370" t="str">
            <v>Fundo anticorrosivo zarcão</v>
          </cell>
          <cell r="Y370" t="str">
            <v>l</v>
          </cell>
          <cell r="Z370">
            <v>26.918900000000001</v>
          </cell>
          <cell r="AA370">
            <v>0</v>
          </cell>
          <cell r="BC370" t="str">
            <v>E9556</v>
          </cell>
          <cell r="BD370" t="str">
            <v>Compactador manual de placa vibratória - 3 kW</v>
          </cell>
          <cell r="BE370" t="str">
            <v>h</v>
          </cell>
          <cell r="BF370">
            <v>4.6020000000000003</v>
          </cell>
          <cell r="BG370">
            <v>1.3783000000000001</v>
          </cell>
          <cell r="CC370" t="str">
            <v>(m²)</v>
          </cell>
          <cell r="CD370" t="str">
            <v>Concreto asfáltico com asfalto polímero - faixa C - areia e brita comerciais</v>
          </cell>
          <cell r="CE370" t="str">
            <v>t</v>
          </cell>
          <cell r="CF370">
            <v>10</v>
          </cell>
          <cell r="CG370">
            <v>0.24</v>
          </cell>
          <cell r="CH370">
            <v>1</v>
          </cell>
          <cell r="CI370">
            <v>4011466</v>
          </cell>
          <cell r="CJ370">
            <v>130.81939260452867</v>
          </cell>
          <cell r="CK370">
            <v>41.239505324651617</v>
          </cell>
          <cell r="CL370">
            <v>4011466</v>
          </cell>
          <cell r="CM370">
            <v>135.10461380032868</v>
          </cell>
          <cell r="CN370">
            <v>42.590378454415607</v>
          </cell>
        </row>
        <row r="371">
          <cell r="B371">
            <v>5915470</v>
          </cell>
          <cell r="C371" t="str">
            <v>SICRO</v>
          </cell>
          <cell r="D371" t="str">
            <v>livre
Carga, manobra e descarga de agregados (brita, pó de pedra, areia, rachão) e solos em caminhão basculante de de 6 m³ - carga</v>
          </cell>
          <cell r="E371" t="str">
            <v>t</v>
          </cell>
          <cell r="F371">
            <v>2.1211407886651963</v>
          </cell>
          <cell r="G371">
            <v>2.1211407886651963</v>
          </cell>
          <cell r="H371">
            <v>2.1211407886651963</v>
          </cell>
          <cell r="I371">
            <v>0</v>
          </cell>
          <cell r="J371">
            <v>2.1350206744497049</v>
          </cell>
          <cell r="K371">
            <v>2.1350206744497049</v>
          </cell>
          <cell r="L371">
            <v>2.1350206744497049</v>
          </cell>
          <cell r="W371" t="str">
            <v>M0879</v>
          </cell>
          <cell r="X371" t="str">
            <v>Lixa para ferro</v>
          </cell>
          <cell r="Y371" t="str">
            <v>un</v>
          </cell>
          <cell r="Z371">
            <v>2.3849999999999998</v>
          </cell>
          <cell r="AA371">
            <v>0</v>
          </cell>
          <cell r="BC371" t="str">
            <v>M3177</v>
          </cell>
          <cell r="BD371" t="str">
            <v>Fita metálica SAE 1010/1020, barra chata galvanizada, de 50 x 4 mm</v>
          </cell>
          <cell r="BE371" t="str">
            <v>kg</v>
          </cell>
          <cell r="BF371">
            <v>9.2744999999999997</v>
          </cell>
          <cell r="BG371">
            <v>0</v>
          </cell>
          <cell r="CC371">
            <v>0</v>
          </cell>
          <cell r="CD371" t="str">
            <v>Fornecimento de Material Betuminoso c/ polímero SBS</v>
          </cell>
          <cell r="CE371" t="str">
            <v>t</v>
          </cell>
          <cell r="CF371" t="str">
            <v>0,057732 t</v>
          </cell>
          <cell r="CG371">
            <v>1.3855679999999999E-2</v>
          </cell>
          <cell r="CH371">
            <v>1</v>
          </cell>
          <cell r="CI371" t="str">
            <v>CPU10</v>
          </cell>
          <cell r="CJ371">
            <v>4481.4349761078774</v>
          </cell>
          <cell r="CK371">
            <v>62.093328969758389</v>
          </cell>
          <cell r="CL371" t="str">
            <v>CPU10-1</v>
          </cell>
          <cell r="CM371">
            <v>4614.4401264709131</v>
          </cell>
          <cell r="CN371">
            <v>63.936205771540493</v>
          </cell>
        </row>
        <row r="372">
          <cell r="B372">
            <v>5914622</v>
          </cell>
          <cell r="C372" t="str">
            <v>SICRO</v>
          </cell>
          <cell r="D372" t="str">
            <v>Transporte de material betuminoso com caminhão distribuidor - rodovia pavimentada</v>
          </cell>
          <cell r="E372" t="str">
            <v>tkm</v>
          </cell>
          <cell r="F372">
            <v>0.95926572958500667</v>
          </cell>
          <cell r="G372">
            <v>0.95926572958500667</v>
          </cell>
          <cell r="H372">
            <v>0.95926572958500667</v>
          </cell>
          <cell r="I372">
            <v>0</v>
          </cell>
          <cell r="J372">
            <v>0.96258299866131192</v>
          </cell>
          <cell r="K372">
            <v>0.96258299866131192</v>
          </cell>
          <cell r="L372">
            <v>0.96258299866131192</v>
          </cell>
          <cell r="W372" t="str">
            <v>E9061</v>
          </cell>
          <cell r="X372" t="str">
            <v>Lixadeira elétrica manual angular - 2 kW</v>
          </cell>
          <cell r="Y372" t="str">
            <v>h</v>
          </cell>
          <cell r="Z372">
            <v>0.13980000000000001</v>
          </cell>
          <cell r="AA372">
            <v>9.2600000000000002E-2</v>
          </cell>
          <cell r="BC372" t="str">
            <v>M3174</v>
          </cell>
          <cell r="BD372" t="str">
            <v>Chumbador em aço SAE 1010/1020, barra chata galvanizada, de 60 x 4 mm</v>
          </cell>
          <cell r="BE372" t="str">
            <v>kg</v>
          </cell>
          <cell r="BF372">
            <v>6.69</v>
          </cell>
          <cell r="BG372">
            <v>0</v>
          </cell>
          <cell r="CC372">
            <v>0</v>
          </cell>
          <cell r="CD372" t="str">
            <v>Pintura de ligação</v>
          </cell>
          <cell r="CE372" t="str">
            <v>m²</v>
          </cell>
          <cell r="CF372">
            <v>2</v>
          </cell>
          <cell r="CG372">
            <v>2</v>
          </cell>
          <cell r="CH372">
            <v>1</v>
          </cell>
          <cell r="CI372">
            <v>4011353</v>
          </cell>
          <cell r="CJ372">
            <v>0.18392808219669335</v>
          </cell>
          <cell r="CK372">
            <v>0.48317907193071341</v>
          </cell>
          <cell r="CL372">
            <v>4011353</v>
          </cell>
          <cell r="CM372">
            <v>0.18912484066666665</v>
          </cell>
          <cell r="CN372">
            <v>0.49683095643133324</v>
          </cell>
        </row>
        <row r="373">
          <cell r="B373" t="str">
            <v>INFRA-102100</v>
          </cell>
          <cell r="C373" t="str">
            <v>SIURB</v>
          </cell>
          <cell r="D373" t="str">
            <v>Corte de concreto com disco diamantado até profundidade de 13cm</v>
          </cell>
          <cell r="E373" t="str">
            <v>m²</v>
          </cell>
          <cell r="F373">
            <v>83.87482</v>
          </cell>
          <cell r="G373">
            <v>83.87482</v>
          </cell>
          <cell r="H373">
            <v>83.87482</v>
          </cell>
          <cell r="I373">
            <v>0</v>
          </cell>
          <cell r="J373">
            <v>84.916539999999998</v>
          </cell>
          <cell r="K373">
            <v>84.916539999999998</v>
          </cell>
          <cell r="L373">
            <v>84.916539999999998</v>
          </cell>
          <cell r="W373" t="str">
            <v>E9547</v>
          </cell>
          <cell r="X373" t="str">
            <v>Máquina para solda elétrica - 9,2 kW</v>
          </cell>
          <cell r="Y373" t="str">
            <v>h</v>
          </cell>
          <cell r="Z373">
            <v>9.6600000000000005E-2</v>
          </cell>
          <cell r="AA373">
            <v>5.3199999999999997E-2</v>
          </cell>
          <cell r="BC373" t="str">
            <v>M3173</v>
          </cell>
          <cell r="BD373" t="str">
            <v>Parafuso cabeça sextavada zincado a fogo M12 x 30, classe 8.8 - D = 13 mm</v>
          </cell>
          <cell r="BE373" t="str">
            <v>un</v>
          </cell>
          <cell r="BF373">
            <v>0.73499999999999999</v>
          </cell>
          <cell r="BG373">
            <v>0</v>
          </cell>
          <cell r="CC373">
            <v>0</v>
          </cell>
          <cell r="CD373" t="str">
            <v>Fornecimento de emulsão RR-1C</v>
          </cell>
          <cell r="CE373" t="str">
            <v>t</v>
          </cell>
          <cell r="CF373" t="str">
            <v>0,00045 t</v>
          </cell>
          <cell r="CG373">
            <v>8.9999999999999998E-4</v>
          </cell>
          <cell r="CH373">
            <v>1</v>
          </cell>
          <cell r="CI373" t="str">
            <v>CPU04</v>
          </cell>
          <cell r="CJ373">
            <v>2511.8507594331254</v>
          </cell>
          <cell r="CK373">
            <v>2.2606656834898127</v>
          </cell>
          <cell r="CL373" t="str">
            <v>CPU04-1</v>
          </cell>
          <cell r="CM373">
            <v>2535.6603093736671</v>
          </cell>
          <cell r="CN373">
            <v>2.2820942784363005</v>
          </cell>
        </row>
        <row r="374">
          <cell r="B374">
            <v>72124</v>
          </cell>
          <cell r="C374" t="str">
            <v>SICRO</v>
          </cell>
          <cell r="D374" t="str">
            <v>IMPERMEABILIZACAO DE SUPERFICIE COM MASTIQUE ELASTICO</v>
          </cell>
          <cell r="E374" t="str">
            <v>DM3</v>
          </cell>
          <cell r="F374">
            <v>117.03139999999999</v>
          </cell>
          <cell r="G374">
            <v>117.03139999999999</v>
          </cell>
          <cell r="H374">
            <v>117.03139999999999</v>
          </cell>
          <cell r="I374">
            <v>0</v>
          </cell>
          <cell r="J374">
            <v>115.75369999999999</v>
          </cell>
          <cell r="K374">
            <v>115.75369999999999</v>
          </cell>
          <cell r="L374">
            <v>115.75369999999999</v>
          </cell>
          <cell r="W374" t="str">
            <v>P9825</v>
          </cell>
          <cell r="X374" t="str">
            <v>Soldador</v>
          </cell>
          <cell r="Y374" t="str">
            <v>h</v>
          </cell>
          <cell r="Z374">
            <v>32.905500000000004</v>
          </cell>
          <cell r="AA374">
            <v>0</v>
          </cell>
          <cell r="BC374" t="str">
            <v>M3172</v>
          </cell>
          <cell r="BD374" t="str">
            <v>Porca sextavada galvanizada M12, classe 8.8 - D = 13 mm - DIN 934</v>
          </cell>
          <cell r="BE374" t="str">
            <v>un</v>
          </cell>
          <cell r="BF374">
            <v>0.24199999999999999</v>
          </cell>
          <cell r="BG374">
            <v>0</v>
          </cell>
          <cell r="CC374">
            <v>0</v>
          </cell>
          <cell r="CD374" t="str">
            <v>Pintura de faixa - tinta base acrílica - espessura de 0,6 mm</v>
          </cell>
          <cell r="CE374" t="str">
            <v>m²</v>
          </cell>
          <cell r="CF374" t="str">
            <v>2 faixas cont. + 1 faixa não cont.</v>
          </cell>
          <cell r="CG374">
            <v>4.4871794871794872E-2</v>
          </cell>
          <cell r="CH374">
            <v>1</v>
          </cell>
          <cell r="CI374">
            <v>5213401</v>
          </cell>
          <cell r="CJ374">
            <v>20.390807290896916</v>
          </cell>
          <cell r="CK374">
            <v>1.2018158822830236</v>
          </cell>
          <cell r="CL374">
            <v>5213401</v>
          </cell>
          <cell r="CM374">
            <v>22.71825438768407</v>
          </cell>
          <cell r="CN374">
            <v>1.3389935254330845</v>
          </cell>
        </row>
        <row r="375">
          <cell r="B375">
            <v>4011410</v>
          </cell>
          <cell r="C375" t="str">
            <v>SICRO</v>
          </cell>
          <cell r="D375" t="str">
            <v>Micro revestimento a frio com emulsão modificada com polímero de 1,5 cm - brita comercial</v>
          </cell>
          <cell r="E375" t="str">
            <v>m²</v>
          </cell>
          <cell r="F375">
            <v>2.2145269126506024</v>
          </cell>
          <cell r="G375">
            <v>2.2145269126506024</v>
          </cell>
          <cell r="H375">
            <v>2.2145269126506024</v>
          </cell>
          <cell r="I375">
            <v>0</v>
          </cell>
          <cell r="J375">
            <v>2.2258629804216872</v>
          </cell>
          <cell r="K375">
            <v>2.2258629804216872</v>
          </cell>
          <cell r="L375">
            <v>2.2258629804216872</v>
          </cell>
          <cell r="W375" t="str">
            <v>M2130</v>
          </cell>
          <cell r="X375" t="str">
            <v>Eletrodo E70 XX</v>
          </cell>
          <cell r="Y375" t="str">
            <v>kg</v>
          </cell>
          <cell r="Z375">
            <v>17.508500000000002</v>
          </cell>
          <cell r="AA375">
            <v>0</v>
          </cell>
          <cell r="BC375" t="str">
            <v>M1880</v>
          </cell>
          <cell r="BD375" t="str">
            <v>Tubo PEAD 80 PN8 - D = 20 mm</v>
          </cell>
          <cell r="BE375" t="str">
            <v>m</v>
          </cell>
          <cell r="BF375">
            <v>2.9380999999999999</v>
          </cell>
          <cell r="BG375">
            <v>0</v>
          </cell>
          <cell r="CC375">
            <v>0</v>
          </cell>
          <cell r="CD375" t="str">
            <v>Tacha refletiva monodirecional - fornecimento e colocação</v>
          </cell>
          <cell r="CE375" t="str">
            <v>un</v>
          </cell>
          <cell r="CF375" t="str">
            <v>3 / 16m / 7,8m largura</v>
          </cell>
          <cell r="CG375">
            <v>2.403846153846154E-2</v>
          </cell>
          <cell r="CH375">
            <v>1</v>
          </cell>
          <cell r="CI375">
            <v>5213359</v>
          </cell>
          <cell r="CJ375">
            <v>12.189996472111552</v>
          </cell>
          <cell r="CK375">
            <v>0.38489327803169532</v>
          </cell>
          <cell r="CL375">
            <v>5213359</v>
          </cell>
          <cell r="CM375">
            <v>14.739324009960159</v>
          </cell>
          <cell r="CN375">
            <v>0.46538706940102564</v>
          </cell>
        </row>
        <row r="376">
          <cell r="B376">
            <v>4915757</v>
          </cell>
          <cell r="C376" t="str">
            <v>SICRO</v>
          </cell>
          <cell r="D376" t="str">
            <v>Tapa buraco com serra corta piso</v>
          </cell>
          <cell r="E376" t="str">
            <v>m³</v>
          </cell>
          <cell r="F376">
            <v>412.96080653621425</v>
          </cell>
          <cell r="G376">
            <v>412.96080653621425</v>
          </cell>
          <cell r="H376">
            <v>412.96080653621425</v>
          </cell>
          <cell r="I376">
            <v>0</v>
          </cell>
          <cell r="J376">
            <v>422.61045636817852</v>
          </cell>
          <cell r="K376">
            <v>422.61045636817852</v>
          </cell>
          <cell r="L376">
            <v>422.61045636817852</v>
          </cell>
          <cell r="W376" t="str">
            <v>M0798</v>
          </cell>
          <cell r="X376" t="str">
            <v>Apoio de neoprene fretado</v>
          </cell>
          <cell r="Y376" t="str">
            <v>dm³</v>
          </cell>
          <cell r="Z376">
            <v>60.18</v>
          </cell>
          <cell r="AA376">
            <v>0</v>
          </cell>
          <cell r="BC376">
            <v>5405986</v>
          </cell>
          <cell r="BD376" t="str">
            <v xml:space="preserve">Moldes metálicos para solo reforçado com fita metálica - formato cruciforme de 1,50 x 1,50 m - utilização de 100 vezes </v>
          </cell>
          <cell r="BE376" t="str">
            <v>m³</v>
          </cell>
          <cell r="BF376">
            <v>55.39</v>
          </cell>
          <cell r="BG376">
            <v>0</v>
          </cell>
          <cell r="CC376">
            <v>0</v>
          </cell>
          <cell r="CD376" t="str">
            <v>Tacha refletiva metálica com dois pinos - bidirecional - fornecimento e colocação</v>
          </cell>
          <cell r="CE376" t="str">
            <v>un</v>
          </cell>
          <cell r="CF376" t="str">
            <v>não aplicada</v>
          </cell>
          <cell r="CG376">
            <v>0</v>
          </cell>
          <cell r="CH376">
            <v>1</v>
          </cell>
          <cell r="CI376">
            <v>5213395</v>
          </cell>
          <cell r="CJ376">
            <v>32.534966247709477</v>
          </cell>
          <cell r="CK376">
            <v>0</v>
          </cell>
          <cell r="CL376">
            <v>5213395</v>
          </cell>
          <cell r="CM376">
            <v>34.530034902548728</v>
          </cell>
          <cell r="CN376">
            <v>0</v>
          </cell>
        </row>
        <row r="377">
          <cell r="B377">
            <v>4915695</v>
          </cell>
          <cell r="C377" t="str">
            <v>SICRO</v>
          </cell>
          <cell r="D377" t="str">
            <v>Limpeza, serragem e enchimento de trincas em pavimento de concreto com CAP</v>
          </cell>
          <cell r="E377" t="str">
            <v>m</v>
          </cell>
          <cell r="F377">
            <v>2.3280907706064253</v>
          </cell>
          <cell r="G377">
            <v>2.3280907706064253</v>
          </cell>
          <cell r="H377">
            <v>2.3280907706064253</v>
          </cell>
          <cell r="I377">
            <v>0</v>
          </cell>
          <cell r="J377">
            <v>2.389796305014726</v>
          </cell>
          <cell r="K377">
            <v>2.389796305014726</v>
          </cell>
          <cell r="L377">
            <v>2.389796305014726</v>
          </cell>
          <cell r="W377" t="str">
            <v>E9788</v>
          </cell>
          <cell r="X377" t="str">
            <v>Misturador de argamassa com capacidade de 250 l - 3,7 kW</v>
          </cell>
          <cell r="Y377" t="str">
            <v>h</v>
          </cell>
          <cell r="Z377">
            <v>31.4724</v>
          </cell>
          <cell r="AA377">
            <v>28.755099999999999</v>
          </cell>
          <cell r="BC377" t="str">
            <v>M2102</v>
          </cell>
          <cell r="BD377" t="str">
            <v>Adesivo PVA</v>
          </cell>
          <cell r="BE377" t="str">
            <v>kg</v>
          </cell>
          <cell r="BF377">
            <v>10.5824</v>
          </cell>
          <cell r="BG377">
            <v>0</v>
          </cell>
          <cell r="CC377" t="str">
            <v>ENCH - R5</v>
          </cell>
          <cell r="CD377" t="str">
            <v xml:space="preserve"> ENCHIMENTO PARA CORREÇÃO DE SUPERELEVAÇÃO: consideradas camadas de 5cm de BINDER</v>
          </cell>
          <cell r="CE377">
            <v>0</v>
          </cell>
          <cell r="CF377">
            <v>0</v>
          </cell>
          <cell r="CG377">
            <v>0</v>
          </cell>
          <cell r="CH377">
            <v>0</v>
          </cell>
          <cell r="CI377">
            <v>0</v>
          </cell>
          <cell r="CJ377">
            <v>0</v>
          </cell>
          <cell r="CK377">
            <v>1060.7667904983052</v>
          </cell>
          <cell r="CL377">
            <v>0</v>
          </cell>
          <cell r="CM377">
            <v>0</v>
          </cell>
          <cell r="CN377">
            <v>1070.8147436157728</v>
          </cell>
        </row>
        <row r="378">
          <cell r="B378" t="str">
            <v>6 S 00 000 15</v>
          </cell>
          <cell r="C378" t="str">
            <v>SICRO 2</v>
          </cell>
          <cell r="D378" t="str">
            <v>Varredura e limpeza de pista</v>
          </cell>
          <cell r="E378" t="str">
            <v>km</v>
          </cell>
          <cell r="F378">
            <v>42.81</v>
          </cell>
          <cell r="G378">
            <v>42.81</v>
          </cell>
          <cell r="H378">
            <v>42.81</v>
          </cell>
          <cell r="I378">
            <v>0</v>
          </cell>
          <cell r="J378">
            <v>42.81</v>
          </cell>
          <cell r="K378">
            <v>42.81</v>
          </cell>
          <cell r="L378">
            <v>42.81</v>
          </cell>
          <cell r="W378" t="str">
            <v>M0083</v>
          </cell>
          <cell r="X378" t="str">
            <v>Argamassa tipo Sika Grout ou similar</v>
          </cell>
          <cell r="Y378" t="str">
            <v>kg</v>
          </cell>
          <cell r="Z378">
            <v>1.1429</v>
          </cell>
          <cell r="AA378">
            <v>0</v>
          </cell>
          <cell r="BC378" t="str">
            <v>M3170</v>
          </cell>
          <cell r="BD378" t="str">
            <v>Apoio de neoprene simples de 100 x 100 x 20 mm</v>
          </cell>
          <cell r="BE378" t="str">
            <v>un</v>
          </cell>
          <cell r="BF378">
            <v>16.1098</v>
          </cell>
          <cell r="BG378">
            <v>0</v>
          </cell>
          <cell r="CC378" t="str">
            <v>(m3)</v>
          </cell>
          <cell r="CD378" t="str">
            <v>Concreto asfáltico - faixa B - areia e brita comerciais</v>
          </cell>
          <cell r="CE378" t="str">
            <v>t</v>
          </cell>
          <cell r="CF378">
            <v>100</v>
          </cell>
          <cell r="CG378">
            <v>2.4</v>
          </cell>
          <cell r="CH378">
            <v>1</v>
          </cell>
          <cell r="CI378">
            <v>4011466</v>
          </cell>
          <cell r="CJ378">
            <v>130.81939260452867</v>
          </cell>
          <cell r="CK378">
            <v>412.39505324651617</v>
          </cell>
          <cell r="CL378">
            <v>4011459</v>
          </cell>
          <cell r="CM378">
            <v>128.04956019277108</v>
          </cell>
          <cell r="CN378">
            <v>403.66343355169147</v>
          </cell>
        </row>
        <row r="379">
          <cell r="B379">
            <v>4915753</v>
          </cell>
          <cell r="C379" t="str">
            <v>SICRO</v>
          </cell>
          <cell r="D379" t="str">
            <v>Remendo em placa de pavimentos de concreto</v>
          </cell>
          <cell r="E379" t="str">
            <v>m³</v>
          </cell>
          <cell r="F379">
            <v>961.58360622426846</v>
          </cell>
          <cell r="G379">
            <v>961.58360622426846</v>
          </cell>
          <cell r="H379">
            <v>961.58360622426846</v>
          </cell>
          <cell r="I379">
            <v>0</v>
          </cell>
          <cell r="J379">
            <v>977.74756714679995</v>
          </cell>
          <cell r="K379">
            <v>977.74756714679995</v>
          </cell>
          <cell r="L379">
            <v>977.74756714679995</v>
          </cell>
          <cell r="W379" t="str">
            <v>E9094</v>
          </cell>
          <cell r="X379" t="str">
            <v>Guindaste móvel sobre pneus com 6 eixos com capacidade de 10.500 kNm - 450 kW</v>
          </cell>
          <cell r="Y379" t="str">
            <v>h</v>
          </cell>
          <cell r="Z379">
            <v>1703.4873</v>
          </cell>
          <cell r="AA379">
            <v>802.79849999999999</v>
          </cell>
          <cell r="BC379" t="str">
            <v>M2050</v>
          </cell>
          <cell r="BD379" t="str">
            <v>Geotêxtil não-tecido agulhado RT 09</v>
          </cell>
          <cell r="BE379" t="str">
            <v>m²</v>
          </cell>
          <cell r="BF379">
            <v>3.99</v>
          </cell>
          <cell r="BG379">
            <v>0</v>
          </cell>
          <cell r="CC379">
            <v>0</v>
          </cell>
          <cell r="CD379" t="str">
            <v>Fornecimento de Material Betuminoso c/ polímero SBS</v>
          </cell>
          <cell r="CE379" t="str">
            <v>t</v>
          </cell>
          <cell r="CF379" t="str">
            <v>0,057732 t</v>
          </cell>
          <cell r="CG379">
            <v>0.13855679999999998</v>
          </cell>
          <cell r="CH379">
            <v>1</v>
          </cell>
          <cell r="CI379" t="str">
            <v>CPU10</v>
          </cell>
          <cell r="CJ379">
            <v>4481.4349761078774</v>
          </cell>
          <cell r="CK379">
            <v>620.93328969758386</v>
          </cell>
          <cell r="CL379" t="str">
            <v>CPU10-1</v>
          </cell>
          <cell r="CM379">
            <v>4614.4401264709131</v>
          </cell>
          <cell r="CN379">
            <v>639.36205771540494</v>
          </cell>
        </row>
        <row r="380">
          <cell r="B380">
            <v>4915720</v>
          </cell>
          <cell r="C380" t="str">
            <v>SICRO</v>
          </cell>
          <cell r="D380" t="str">
            <v>Substituição de balizador - areia e brita comerciais</v>
          </cell>
          <cell r="E380" t="str">
            <v>un</v>
          </cell>
          <cell r="F380">
            <v>21.624711111111111</v>
          </cell>
          <cell r="G380">
            <v>21.624711111111111</v>
          </cell>
          <cell r="H380">
            <v>21.624711111111111</v>
          </cell>
          <cell r="I380">
            <v>0</v>
          </cell>
          <cell r="J380">
            <v>22.165170370370369</v>
          </cell>
          <cell r="K380">
            <v>22.165170370370369</v>
          </cell>
          <cell r="L380">
            <v>22.165170370370369</v>
          </cell>
          <cell r="W380" t="str">
            <v>E9722</v>
          </cell>
          <cell r="X380" t="str">
            <v>Conjunto bomba e macaco hidráulico para protensão com capacidade de 2.000 kN</v>
          </cell>
          <cell r="Y380" t="str">
            <v>h</v>
          </cell>
          <cell r="Z380">
            <v>43.8322</v>
          </cell>
          <cell r="AA380">
            <v>41.955300000000001</v>
          </cell>
          <cell r="BC380">
            <v>5405979</v>
          </cell>
          <cell r="BD380" t="str">
            <v xml:space="preserve">Travamento e nivelamento de escama de concreto armado em solo reforçado com fita metálica </v>
          </cell>
          <cell r="BE380" t="str">
            <v>m²</v>
          </cell>
          <cell r="BF380">
            <v>13.97</v>
          </cell>
          <cell r="BG380">
            <v>0</v>
          </cell>
          <cell r="CC380">
            <v>0</v>
          </cell>
          <cell r="CD380" t="str">
            <v>Pintura de ligação</v>
          </cell>
          <cell r="CE380" t="str">
            <v>m²</v>
          </cell>
          <cell r="CF380">
            <v>1</v>
          </cell>
          <cell r="CG380">
            <v>20</v>
          </cell>
          <cell r="CH380">
            <v>1</v>
          </cell>
          <cell r="CI380">
            <v>4011353</v>
          </cell>
          <cell r="CJ380">
            <v>0.18392808219669335</v>
          </cell>
          <cell r="CK380">
            <v>4.8317907193071337</v>
          </cell>
          <cell r="CL380">
            <v>4011353</v>
          </cell>
          <cell r="CM380">
            <v>0.18912484066666665</v>
          </cell>
          <cell r="CN380">
            <v>4.9683095643133326</v>
          </cell>
        </row>
        <row r="381">
          <cell r="B381" t="str">
            <v>6 S 00 001 11</v>
          </cell>
          <cell r="C381" t="str">
            <v>SICRO 2</v>
          </cell>
          <cell r="D381" t="str">
            <v xml:space="preserve">Limpeza balizadores </v>
          </cell>
          <cell r="E381" t="str">
            <v xml:space="preserve">un </v>
          </cell>
          <cell r="F381">
            <v>3.2971522462470233</v>
          </cell>
          <cell r="G381">
            <v>3.2971522462470233</v>
          </cell>
          <cell r="H381">
            <v>3.2971522462470233</v>
          </cell>
          <cell r="I381">
            <v>0</v>
          </cell>
          <cell r="J381">
            <v>3.2971522462470233</v>
          </cell>
          <cell r="K381">
            <v>3.2971522462470233</v>
          </cell>
          <cell r="L381">
            <v>3.2971522462470233</v>
          </cell>
          <cell r="W381" t="str">
            <v>E9719</v>
          </cell>
          <cell r="X381" t="str">
            <v>Talha manual com capacidade de 3 t</v>
          </cell>
          <cell r="Y381" t="str">
            <v>h</v>
          </cell>
          <cell r="Z381">
            <v>0.1474</v>
          </cell>
          <cell r="AA381">
            <v>0.1022</v>
          </cell>
          <cell r="BC381" t="str">
            <v>E9607</v>
          </cell>
          <cell r="BD381" t="str">
            <v>Conjunto de britagem para rachão com capacidade de 80 m³/h</v>
          </cell>
          <cell r="BE381" t="str">
            <v>h</v>
          </cell>
          <cell r="BF381">
            <v>212.85470000000001</v>
          </cell>
          <cell r="BG381">
            <v>149.5582</v>
          </cell>
          <cell r="CC381">
            <v>0</v>
          </cell>
          <cell r="CD381" t="str">
            <v>Fornecimento de emulsão RR-1C</v>
          </cell>
          <cell r="CE381" t="str">
            <v>t</v>
          </cell>
          <cell r="CF381" t="str">
            <v>0,00045 t</v>
          </cell>
          <cell r="CG381">
            <v>8.9999999999999993E-3</v>
          </cell>
          <cell r="CH381">
            <v>1</v>
          </cell>
          <cell r="CI381" t="str">
            <v>CPU04</v>
          </cell>
          <cell r="CJ381">
            <v>2511.8507594331254</v>
          </cell>
          <cell r="CK381">
            <v>22.606656834898128</v>
          </cell>
          <cell r="CL381" t="str">
            <v>CPU04-1</v>
          </cell>
          <cell r="CM381">
            <v>2535.6603093736671</v>
          </cell>
          <cell r="CN381">
            <v>22.820942784363002</v>
          </cell>
        </row>
        <row r="382">
          <cell r="B382" t="str">
            <v>5 S 04 999 54</v>
          </cell>
          <cell r="C382" t="str">
            <v>SICRO 2</v>
          </cell>
          <cell r="D382" t="str">
            <v>Restaur.de disp.danif.com concr. fck=15 MPa AC/BC</v>
          </cell>
          <cell r="E382" t="str">
            <v>m³</v>
          </cell>
          <cell r="F382">
            <v>414.6</v>
          </cell>
          <cell r="G382">
            <v>414.6</v>
          </cell>
          <cell r="H382">
            <v>414.6</v>
          </cell>
          <cell r="I382">
            <v>0</v>
          </cell>
          <cell r="J382">
            <v>414.6</v>
          </cell>
          <cell r="K382">
            <v>414.6</v>
          </cell>
          <cell r="L382">
            <v>414.6</v>
          </cell>
          <cell r="W382" t="str">
            <v>M0092</v>
          </cell>
          <cell r="X382" t="str">
            <v>Ancoragem ativa em ferro fundido nodular para 12 cordoalhas - D = 12,7 mm</v>
          </cell>
          <cell r="Y382" t="str">
            <v>un</v>
          </cell>
          <cell r="Z382">
            <v>1407.1398999999999</v>
          </cell>
          <cell r="AA382">
            <v>0</v>
          </cell>
          <cell r="BC382" t="str">
            <v>E9778</v>
          </cell>
          <cell r="BD382" t="str">
            <v>Grupo gerador - 310/340 kVA</v>
          </cell>
          <cell r="BE382" t="str">
            <v>h</v>
          </cell>
          <cell r="BF382">
            <v>144.88329999999999</v>
          </cell>
          <cell r="BG382">
            <v>8.4469999999999992</v>
          </cell>
          <cell r="CC382">
            <v>0</v>
          </cell>
          <cell r="CD382" t="str">
            <v>Pintura de faixa - tinta base acrílica - espessura de 0,6 mm</v>
          </cell>
          <cell r="CE382" t="str">
            <v>m²</v>
          </cell>
          <cell r="CF382" t="str">
            <v>não aplicada</v>
          </cell>
          <cell r="CG382">
            <v>0</v>
          </cell>
          <cell r="CH382">
            <v>1</v>
          </cell>
          <cell r="CI382">
            <v>5213401</v>
          </cell>
          <cell r="CJ382">
            <v>20.390807290896916</v>
          </cell>
          <cell r="CK382">
            <v>0</v>
          </cell>
          <cell r="CL382">
            <v>5213401</v>
          </cell>
          <cell r="CM382">
            <v>22.71825438768407</v>
          </cell>
          <cell r="CN382">
            <v>0</v>
          </cell>
        </row>
        <row r="383">
          <cell r="B383">
            <v>4915709</v>
          </cell>
          <cell r="C383" t="str">
            <v>SICRO</v>
          </cell>
          <cell r="D383" t="str">
            <v>Limpeza de valeta de corte</v>
          </cell>
          <cell r="E383" t="str">
            <v>m</v>
          </cell>
          <cell r="F383">
            <v>1.0216749999999999</v>
          </cell>
          <cell r="G383">
            <v>1.0216749999999999</v>
          </cell>
          <cell r="H383">
            <v>1.0216749999999999</v>
          </cell>
          <cell r="I383">
            <v>0</v>
          </cell>
          <cell r="J383">
            <v>1.0520200000000002</v>
          </cell>
          <cell r="K383">
            <v>1.0520200000000002</v>
          </cell>
          <cell r="L383">
            <v>1.0520200000000002</v>
          </cell>
          <cell r="W383" t="str">
            <v>M2462</v>
          </cell>
          <cell r="X383" t="str">
            <v>Mangueira cristal trançado ar/água com capacidade de 250 lb - D = 20 mm</v>
          </cell>
          <cell r="Y383" t="str">
            <v>m</v>
          </cell>
          <cell r="Z383">
            <v>5.5308999999999999</v>
          </cell>
          <cell r="AA383">
            <v>0</v>
          </cell>
          <cell r="BC383" t="str">
            <v>M2111</v>
          </cell>
          <cell r="BD383" t="str">
            <v>Mandíbula fixa C96 Std</v>
          </cell>
          <cell r="BE383" t="str">
            <v>un</v>
          </cell>
          <cell r="BF383">
            <v>13027.0743</v>
          </cell>
          <cell r="BG383">
            <v>0</v>
          </cell>
          <cell r="CC383">
            <v>0</v>
          </cell>
          <cell r="CD383" t="str">
            <v>Tacha refletiva monodirecional - fornecimento e colocação</v>
          </cell>
          <cell r="CE383" t="str">
            <v>un</v>
          </cell>
          <cell r="CF383" t="str">
            <v>não aplicada</v>
          </cell>
          <cell r="CG383">
            <v>0</v>
          </cell>
          <cell r="CH383">
            <v>1</v>
          </cell>
          <cell r="CI383">
            <v>5213359</v>
          </cell>
          <cell r="CJ383">
            <v>12.189996472111552</v>
          </cell>
          <cell r="CK383">
            <v>0</v>
          </cell>
          <cell r="CL383">
            <v>5213359</v>
          </cell>
          <cell r="CM383">
            <v>14.739324009960159</v>
          </cell>
          <cell r="CN383">
            <v>0</v>
          </cell>
        </row>
        <row r="384">
          <cell r="B384">
            <v>4915712</v>
          </cell>
          <cell r="C384" t="str">
            <v>SICRO</v>
          </cell>
          <cell r="D384" t="str">
            <v>Limpeza de bueiro</v>
          </cell>
          <cell r="E384" t="str">
            <v>m³</v>
          </cell>
          <cell r="F384">
            <v>20.433499999999999</v>
          </cell>
          <cell r="G384">
            <v>20.433499999999999</v>
          </cell>
          <cell r="H384">
            <v>20.433499999999999</v>
          </cell>
          <cell r="I384">
            <v>0</v>
          </cell>
          <cell r="J384">
            <v>21.040400000000002</v>
          </cell>
          <cell r="K384">
            <v>21.040400000000002</v>
          </cell>
          <cell r="L384">
            <v>21.040400000000002</v>
          </cell>
          <cell r="W384" t="str">
            <v>M2419</v>
          </cell>
          <cell r="X384" t="str">
            <v>Parafuso cabeça abaulada M6 com porca e arruela</v>
          </cell>
          <cell r="Y384" t="str">
            <v>un</v>
          </cell>
          <cell r="Z384">
            <v>0.72</v>
          </cell>
          <cell r="AA384">
            <v>0</v>
          </cell>
          <cell r="BC384" t="str">
            <v>M2110</v>
          </cell>
          <cell r="BD384" t="str">
            <v>Mandíbula móvel C96 Std</v>
          </cell>
          <cell r="BE384" t="str">
            <v>un</v>
          </cell>
          <cell r="BF384">
            <v>10308.534</v>
          </cell>
          <cell r="BG384">
            <v>0</v>
          </cell>
          <cell r="CC384">
            <v>0</v>
          </cell>
          <cell r="CD384" t="str">
            <v>Tacha refletiva metálica com dois pinos - bidirecional - fornecimento e colocação</v>
          </cell>
          <cell r="CE384" t="str">
            <v>un</v>
          </cell>
          <cell r="CF384" t="str">
            <v>não aplicada</v>
          </cell>
          <cell r="CG384">
            <v>0</v>
          </cell>
          <cell r="CH384">
            <v>1</v>
          </cell>
          <cell r="CI384">
            <v>5213395</v>
          </cell>
          <cell r="CJ384">
            <v>32.534966247709477</v>
          </cell>
          <cell r="CK384">
            <v>0</v>
          </cell>
          <cell r="CL384">
            <v>5213395</v>
          </cell>
          <cell r="CM384">
            <v>34.530034902548728</v>
          </cell>
          <cell r="CN384">
            <v>0</v>
          </cell>
        </row>
        <row r="385">
          <cell r="B385">
            <v>4915713</v>
          </cell>
          <cell r="C385" t="str">
            <v>SICRO</v>
          </cell>
          <cell r="D385" t="str">
            <v>Desobstrução de bueiro</v>
          </cell>
          <cell r="E385" t="str">
            <v>m³</v>
          </cell>
          <cell r="F385">
            <v>61.3005</v>
          </cell>
          <cell r="G385">
            <v>61.3005</v>
          </cell>
          <cell r="H385">
            <v>61.3005</v>
          </cell>
          <cell r="I385">
            <v>0</v>
          </cell>
          <cell r="J385">
            <v>63.121200000000002</v>
          </cell>
          <cell r="K385">
            <v>63.121200000000002</v>
          </cell>
          <cell r="L385">
            <v>63.121200000000002</v>
          </cell>
          <cell r="W385">
            <v>3816137</v>
          </cell>
          <cell r="X385" t="str">
            <v>Nicho de madeira para dispositivo de ancoragem de protensão - confecção e instalação</v>
          </cell>
          <cell r="Y385" t="str">
            <v>m²</v>
          </cell>
          <cell r="Z385">
            <v>108.67</v>
          </cell>
          <cell r="AA385">
            <v>0</v>
          </cell>
          <cell r="BC385">
            <v>4816010</v>
          </cell>
          <cell r="BD385" t="str">
            <v xml:space="preserve">Rocha para britagem com perfuratriz sobre esteira </v>
          </cell>
          <cell r="BE385" t="str">
            <v>m³</v>
          </cell>
          <cell r="BF385">
            <v>24.62</v>
          </cell>
          <cell r="BG385">
            <v>0</v>
          </cell>
          <cell r="CC385" t="str">
            <v>SJ</v>
          </cell>
          <cell r="CD385" t="str">
            <v>Selagem de juntas</v>
          </cell>
          <cell r="CE385" t="str">
            <v>m</v>
          </cell>
          <cell r="CF385">
            <v>0</v>
          </cell>
          <cell r="CG385">
            <v>0</v>
          </cell>
          <cell r="CH385">
            <v>0</v>
          </cell>
          <cell r="CI385">
            <v>0</v>
          </cell>
          <cell r="CJ385">
            <v>0</v>
          </cell>
          <cell r="CK385">
            <v>8.1540160330561555</v>
          </cell>
          <cell r="CL385">
            <v>0</v>
          </cell>
          <cell r="CM385">
            <v>0</v>
          </cell>
          <cell r="CN385">
            <v>9.2091458139485702</v>
          </cell>
        </row>
        <row r="386">
          <cell r="B386">
            <v>4915608</v>
          </cell>
          <cell r="C386" t="str">
            <v>SICRO</v>
          </cell>
          <cell r="D386" t="str">
            <v>Regularização de taludes com soquete vibratorio</v>
          </cell>
          <cell r="E386" t="str">
            <v>m²</v>
          </cell>
          <cell r="F386">
            <v>1.9345983888516347</v>
          </cell>
          <cell r="G386">
            <v>1.9345983888516347</v>
          </cell>
          <cell r="H386">
            <v>1.9345983888516347</v>
          </cell>
          <cell r="I386">
            <v>0</v>
          </cell>
          <cell r="J386">
            <v>2.0133652995808888</v>
          </cell>
          <cell r="K386">
            <v>2.0133652995808888</v>
          </cell>
          <cell r="L386">
            <v>2.0133652995808888</v>
          </cell>
          <cell r="W386" t="str">
            <v>E9717</v>
          </cell>
          <cell r="X386" t="str">
            <v>Máquina policorte - 2,2 kW</v>
          </cell>
          <cell r="Y386" t="str">
            <v>h</v>
          </cell>
          <cell r="Z386">
            <v>0.10249999999999999</v>
          </cell>
          <cell r="AA386">
            <v>7.0099999999999996E-2</v>
          </cell>
          <cell r="BC386" t="str">
            <v>M1673</v>
          </cell>
          <cell r="BD386" t="str">
            <v>Tubo de PVC roscável de 4"</v>
          </cell>
          <cell r="BE386" t="str">
            <v>m</v>
          </cell>
          <cell r="BF386">
            <v>52.963299999999997</v>
          </cell>
          <cell r="BG386">
            <v>0</v>
          </cell>
          <cell r="CC386">
            <v>0</v>
          </cell>
          <cell r="CD386" t="str">
            <v>Limpeza em junta de dilatação</v>
          </cell>
          <cell r="CE386" t="str">
            <v>m</v>
          </cell>
          <cell r="CF386">
            <v>0</v>
          </cell>
          <cell r="CG386">
            <v>1</v>
          </cell>
          <cell r="CH386">
            <v>0</v>
          </cell>
          <cell r="CI386">
            <v>3806406</v>
          </cell>
          <cell r="CJ386">
            <v>4.7609811195024427</v>
          </cell>
          <cell r="CK386">
            <v>6.2535487004664576</v>
          </cell>
          <cell r="CL386">
            <v>3806406</v>
          </cell>
          <cell r="CM386">
            <v>5.0956648600621941</v>
          </cell>
          <cell r="CN386">
            <v>6.693155793691691</v>
          </cell>
        </row>
        <row r="387">
          <cell r="B387">
            <v>4915734</v>
          </cell>
          <cell r="C387" t="str">
            <v>SICRO</v>
          </cell>
          <cell r="D387" t="str">
            <v>Recomposição mecanizada de aterro - material de jazida</v>
          </cell>
          <cell r="E387" t="str">
            <v>m³</v>
          </cell>
          <cell r="F387">
            <v>13.25362405564125</v>
          </cell>
          <cell r="G387">
            <v>13.25362405564125</v>
          </cell>
          <cell r="H387">
            <v>13.25362405564125</v>
          </cell>
          <cell r="I387">
            <v>0</v>
          </cell>
          <cell r="J387">
            <v>13.391156402667399</v>
          </cell>
          <cell r="K387">
            <v>13.391156402667399</v>
          </cell>
          <cell r="L387">
            <v>13.391156402667399</v>
          </cell>
          <cell r="W387" t="str">
            <v>M0427</v>
          </cell>
          <cell r="X387" t="str">
            <v>Cordoalha CP 190 RB - D = 12,7 mm</v>
          </cell>
          <cell r="Y387" t="str">
            <v>kg</v>
          </cell>
          <cell r="Z387">
            <v>8.5408000000000008</v>
          </cell>
          <cell r="AA387">
            <v>0</v>
          </cell>
          <cell r="BC387" t="str">
            <v>M0224</v>
          </cell>
          <cell r="BD387" t="str">
            <v>Guia-chapéu pré-moldado - C = 140 cm</v>
          </cell>
          <cell r="BE387" t="str">
            <v>un</v>
          </cell>
          <cell r="BF387">
            <v>32.5</v>
          </cell>
          <cell r="BG387">
            <v>0</v>
          </cell>
          <cell r="CC387">
            <v>0</v>
          </cell>
          <cell r="CD387" t="str">
            <v>Selo asfáltico de microvala de pavimento</v>
          </cell>
          <cell r="CE387" t="str">
            <v>m</v>
          </cell>
          <cell r="CF387">
            <v>0</v>
          </cell>
          <cell r="CG387">
            <v>1</v>
          </cell>
          <cell r="CH387">
            <v>0</v>
          </cell>
          <cell r="CI387">
            <v>2004513</v>
          </cell>
          <cell r="CJ387">
            <v>0.17</v>
          </cell>
          <cell r="CK387">
            <v>0.22329499999999999</v>
          </cell>
          <cell r="CL387">
            <v>2004513</v>
          </cell>
          <cell r="CM387">
            <v>0.17</v>
          </cell>
          <cell r="CN387">
            <v>0.22329499999999999</v>
          </cell>
        </row>
        <row r="388">
          <cell r="B388">
            <v>4915735</v>
          </cell>
          <cell r="C388" t="str">
            <v>SICRO</v>
          </cell>
          <cell r="D388" t="str">
            <v>Remoção manual de barreira em solo</v>
          </cell>
          <cell r="E388" t="str">
            <v>m³</v>
          </cell>
          <cell r="F388">
            <v>12.593329517999999</v>
          </cell>
          <cell r="G388">
            <v>12.593329517999999</v>
          </cell>
          <cell r="H388">
            <v>12.593329517999999</v>
          </cell>
          <cell r="I388">
            <v>0</v>
          </cell>
          <cell r="J388">
            <v>12.9224245488</v>
          </cell>
          <cell r="K388">
            <v>12.9224245488</v>
          </cell>
          <cell r="L388">
            <v>12.9224245488</v>
          </cell>
          <cell r="W388" t="str">
            <v>M0076</v>
          </cell>
          <cell r="X388" t="str">
            <v>Disco de corte para policorte - D = 30 cm</v>
          </cell>
          <cell r="Y388" t="str">
            <v>un</v>
          </cell>
          <cell r="Z388">
            <v>12.198399999999999</v>
          </cell>
          <cell r="AA388">
            <v>0</v>
          </cell>
          <cell r="BC388">
            <v>5213423</v>
          </cell>
          <cell r="BD388" t="str">
            <v xml:space="preserve">Confecção de placa modulada em aço nº 18, galvanizado, com película retrorrefletiva tipo I + III  </v>
          </cell>
          <cell r="BE388" t="str">
            <v>m²</v>
          </cell>
          <cell r="BF388">
            <v>375.46</v>
          </cell>
          <cell r="BG388">
            <v>0</v>
          </cell>
          <cell r="CC388">
            <v>0</v>
          </cell>
          <cell r="CD388" t="str">
            <v>Fornecimento de CAP 50/70</v>
          </cell>
          <cell r="CE388" t="str">
            <v>t</v>
          </cell>
          <cell r="CF388">
            <v>0</v>
          </cell>
          <cell r="CG388">
            <v>6.4000000000000005E-4</v>
          </cell>
          <cell r="CH388">
            <v>0</v>
          </cell>
          <cell r="CI388" t="str">
            <v>CPU01</v>
          </cell>
          <cell r="CJ388">
            <v>2620.5817696714025</v>
          </cell>
          <cell r="CK388">
            <v>1.6771723325896977</v>
          </cell>
          <cell r="CL388" t="str">
            <v>CPU01-1</v>
          </cell>
          <cell r="CM388">
            <v>3582.3359691513733</v>
          </cell>
          <cell r="CN388">
            <v>2.292695020256879</v>
          </cell>
        </row>
        <row r="389">
          <cell r="B389">
            <v>4011458</v>
          </cell>
          <cell r="C389" t="str">
            <v>SICRO</v>
          </cell>
          <cell r="D389" t="str">
            <v>Concreto asfáltico - faixa B - areia extraída, brita produzidas</v>
          </cell>
          <cell r="E389" t="str">
            <v>t</v>
          </cell>
          <cell r="F389">
            <v>119.29041128090941</v>
          </cell>
          <cell r="G389">
            <v>119.29041128090941</v>
          </cell>
          <cell r="H389">
            <v>119.29041128090941</v>
          </cell>
          <cell r="I389">
            <v>0</v>
          </cell>
          <cell r="J389">
            <v>118.2537457420315</v>
          </cell>
          <cell r="K389">
            <v>118.2537457420315</v>
          </cell>
          <cell r="L389">
            <v>118.2537457420315</v>
          </cell>
          <cell r="W389">
            <v>3816138</v>
          </cell>
          <cell r="X389" t="str">
            <v xml:space="preserve">Gaiola metálica em cantoneira para contenção de cordoalha </v>
          </cell>
          <cell r="Y389" t="str">
            <v>kg</v>
          </cell>
          <cell r="Z389">
            <v>41.11</v>
          </cell>
          <cell r="AA389">
            <v>0</v>
          </cell>
          <cell r="BC389">
            <v>5213424</v>
          </cell>
          <cell r="BD389" t="str">
            <v xml:space="preserve">Confecção de placa modulada em aço nº 18, galvanizado, com película retrorrefletiva tipo III + III  </v>
          </cell>
          <cell r="BE389" t="str">
            <v>m²</v>
          </cell>
          <cell r="BF389">
            <v>419.67</v>
          </cell>
          <cell r="BG389">
            <v>0</v>
          </cell>
          <cell r="CC389" t="str">
            <v>DG</v>
          </cell>
          <cell r="CD389" t="str">
            <v>Micro fresagem</v>
          </cell>
          <cell r="CE389" t="str">
            <v>m²</v>
          </cell>
          <cell r="CF389">
            <v>0</v>
          </cell>
          <cell r="CG389">
            <v>0</v>
          </cell>
          <cell r="CH389">
            <v>0</v>
          </cell>
          <cell r="CI389">
            <v>0</v>
          </cell>
          <cell r="CJ389">
            <v>0</v>
          </cell>
          <cell r="CK389">
            <v>22.679966984979554</v>
          </cell>
          <cell r="CL389">
            <v>0</v>
          </cell>
          <cell r="CM389">
            <v>0</v>
          </cell>
          <cell r="CN389">
            <v>23.86060839472432</v>
          </cell>
        </row>
        <row r="390">
          <cell r="B390">
            <v>804014</v>
          </cell>
          <cell r="C390" t="str">
            <v>SICRO</v>
          </cell>
          <cell r="D390" t="str">
            <v>Corpo de BSTC D = 0,40 m PA2 - areia extraída e brita e pedra de mão produzidas</v>
          </cell>
          <cell r="E390" t="str">
            <v>m</v>
          </cell>
          <cell r="F390">
            <v>168.85346030522089</v>
          </cell>
          <cell r="G390">
            <v>168.85346030522089</v>
          </cell>
          <cell r="H390">
            <v>168.85346030522089</v>
          </cell>
          <cell r="I390">
            <v>0</v>
          </cell>
          <cell r="J390">
            <v>172.64886340361446</v>
          </cell>
          <cell r="K390">
            <v>172.64886340361446</v>
          </cell>
          <cell r="L390">
            <v>172.64886340361446</v>
          </cell>
          <cell r="W390" t="str">
            <v>E9599</v>
          </cell>
          <cell r="X390" t="str">
            <v>Central de concreto com capacidade de 30 m³/h - dosadora RS</v>
          </cell>
          <cell r="Y390" t="str">
            <v>h</v>
          </cell>
          <cell r="Z390">
            <v>49.691099999999999</v>
          </cell>
          <cell r="AA390">
            <v>45.5974</v>
          </cell>
          <cell r="BC390" t="str">
            <v>E9073</v>
          </cell>
          <cell r="BD390" t="str">
            <v>Bomba de concreto rebocável com capacidade de 30 m³/h - 74 kW</v>
          </cell>
          <cell r="BE390" t="str">
            <v>h</v>
          </cell>
          <cell r="BF390">
            <v>103.3839</v>
          </cell>
          <cell r="BG390">
            <v>45.770800000000001</v>
          </cell>
          <cell r="CC390">
            <v>0</v>
          </cell>
          <cell r="CD390" t="str">
            <v>Fresagem descontínua de revestimento betuminoso</v>
          </cell>
          <cell r="CE390" t="str">
            <v>m³</v>
          </cell>
          <cell r="CF390">
            <v>1.5</v>
          </cell>
          <cell r="CG390">
            <v>1.4999999999999999E-2</v>
          </cell>
          <cell r="CH390">
            <v>1</v>
          </cell>
          <cell r="CI390">
            <v>4011480</v>
          </cell>
          <cell r="CJ390">
            <v>50.02322121102204</v>
          </cell>
          <cell r="CK390">
            <v>0.98558251591016155</v>
          </cell>
          <cell r="CL390">
            <v>4011480</v>
          </cell>
          <cell r="CM390">
            <v>50.377443150593948</v>
          </cell>
          <cell r="CN390">
            <v>0.99256157367457709</v>
          </cell>
        </row>
        <row r="391">
          <cell r="B391">
            <v>804030</v>
          </cell>
          <cell r="C391" t="str">
            <v>SICRO</v>
          </cell>
          <cell r="D391" t="str">
            <v>Corpo de BSTC D = 0,80 m PA2 - areia extraída e brita e pedra de mão produzidas</v>
          </cell>
          <cell r="E391" t="str">
            <v>m</v>
          </cell>
          <cell r="F391">
            <v>421.49522145501686</v>
          </cell>
          <cell r="G391">
            <v>421.49522145501686</v>
          </cell>
          <cell r="H391">
            <v>421.49522145501686</v>
          </cell>
          <cell r="I391">
            <v>0</v>
          </cell>
          <cell r="J391">
            <v>486.83210408853921</v>
          </cell>
          <cell r="K391">
            <v>486.83210408853921</v>
          </cell>
          <cell r="L391">
            <v>486.83210408853921</v>
          </cell>
          <cell r="W391" t="str">
            <v>M0030</v>
          </cell>
          <cell r="X391" t="str">
            <v>Aditivo plastificante e retardador tipo Plastiment ou similar</v>
          </cell>
          <cell r="Y391" t="str">
            <v>kg</v>
          </cell>
          <cell r="Z391">
            <v>4.4592000000000001</v>
          </cell>
          <cell r="AA391">
            <v>0</v>
          </cell>
          <cell r="BC391" t="str">
            <v>M1378</v>
          </cell>
          <cell r="BD391" t="str">
            <v>Chapa de aço ASTM A36</v>
          </cell>
          <cell r="BE391" t="str">
            <v>kg</v>
          </cell>
          <cell r="BF391">
            <v>5.6567999999999996</v>
          </cell>
          <cell r="BG391">
            <v>0</v>
          </cell>
          <cell r="CC391">
            <v>0</v>
          </cell>
          <cell r="CD391" t="str">
            <v>Carga, manobra e descarga de areia, brita, pedra de mão ou solos em caminhão basculante de 10 m³ - carga com carregadeira e descarga livre</v>
          </cell>
          <cell r="CE391" t="str">
            <v>t</v>
          </cell>
          <cell r="CF391" t="str">
            <v>2,4t/m³</v>
          </cell>
          <cell r="CG391">
            <v>3.5999999999999997E-2</v>
          </cell>
          <cell r="CH391">
            <v>1</v>
          </cell>
          <cell r="CI391">
            <v>5915407</v>
          </cell>
          <cell r="CJ391">
            <v>1.6993770350671593</v>
          </cell>
          <cell r="CK391">
            <v>8.0356742480185678E-2</v>
          </cell>
          <cell r="CL391">
            <v>5914352</v>
          </cell>
          <cell r="CM391">
            <v>9.5803793626707137</v>
          </cell>
          <cell r="CN391">
            <v>0.4530178185432473</v>
          </cell>
        </row>
        <row r="392">
          <cell r="B392">
            <v>804038</v>
          </cell>
          <cell r="C392" t="str">
            <v>SICRO</v>
          </cell>
          <cell r="D392" t="str">
            <v>Corpo de BSTC D = 1,00 m PA2 - areia extraída e brita e pedra de mão produzidas</v>
          </cell>
          <cell r="E392" t="str">
            <v>m</v>
          </cell>
          <cell r="F392">
            <v>598.99823483662351</v>
          </cell>
          <cell r="G392">
            <v>598.99823483662351</v>
          </cell>
          <cell r="H392">
            <v>598.99823483662351</v>
          </cell>
          <cell r="I392">
            <v>0</v>
          </cell>
          <cell r="J392">
            <v>636.91757716453014</v>
          </cell>
          <cell r="K392">
            <v>636.91757716453014</v>
          </cell>
          <cell r="L392">
            <v>636.91757716453014</v>
          </cell>
          <cell r="W392" t="str">
            <v>M0448</v>
          </cell>
          <cell r="X392" t="str">
            <v>Compensado resinado de 14 mm</v>
          </cell>
          <cell r="Y392" t="str">
            <v>m²</v>
          </cell>
          <cell r="Z392">
            <v>18.980599999999999</v>
          </cell>
          <cell r="AA392">
            <v>0</v>
          </cell>
          <cell r="BC392">
            <v>2408058</v>
          </cell>
          <cell r="BD392" t="str">
            <v xml:space="preserve">Solda elétrica de perfis metálicos e chapas de aço com eletrodo E70XX </v>
          </cell>
          <cell r="BE392" t="str">
            <v>kg</v>
          </cell>
          <cell r="BF392">
            <v>72.849999999999994</v>
          </cell>
          <cell r="BG392">
            <v>0</v>
          </cell>
          <cell r="CC392">
            <v>0</v>
          </cell>
          <cell r="CD392" t="str">
            <v>Transporte com caminhão basculante de 12m³ - rodovia em revestimento primário</v>
          </cell>
          <cell r="CE392" t="str">
            <v>tkm</v>
          </cell>
          <cell r="CF392" t="str">
            <v>DMT = 10km</v>
          </cell>
          <cell r="CG392">
            <v>0.36</v>
          </cell>
          <cell r="CH392">
            <v>1</v>
          </cell>
          <cell r="CI392">
            <v>5914335</v>
          </cell>
          <cell r="CJ392">
            <v>0.49810144567068276</v>
          </cell>
          <cell r="CK392">
            <v>0.23553224959983901</v>
          </cell>
          <cell r="CL392">
            <v>5914335</v>
          </cell>
          <cell r="CM392">
            <v>0.49824066306827308</v>
          </cell>
          <cell r="CN392">
            <v>0.2355980799384636</v>
          </cell>
        </row>
        <row r="393">
          <cell r="B393">
            <v>804206</v>
          </cell>
          <cell r="C393" t="str">
            <v>SICRO</v>
          </cell>
          <cell r="D393" t="str">
            <v>Corpo de BDTC D = 1,50 m PA2 - areia extraída e brita e pedra de mão produzidas</v>
          </cell>
          <cell r="E393" t="str">
            <v>m</v>
          </cell>
          <cell r="F393">
            <v>1800.5768001536535</v>
          </cell>
          <cell r="G393">
            <v>1800.5768001536535</v>
          </cell>
          <cell r="H393">
            <v>1800.5768001536535</v>
          </cell>
          <cell r="I393">
            <v>0</v>
          </cell>
          <cell r="J393">
            <v>1911.3724827233818</v>
          </cell>
          <cell r="K393">
            <v>1911.3724827233818</v>
          </cell>
          <cell r="L393">
            <v>1911.3724827233818</v>
          </cell>
          <cell r="W393" t="str">
            <v>E9702</v>
          </cell>
          <cell r="X393" t="str">
            <v>Bomba de injeção de argamassa com capacidade de 340 l/min</v>
          </cell>
          <cell r="Y393" t="str">
            <v>h</v>
          </cell>
          <cell r="Z393">
            <v>42.248399999999997</v>
          </cell>
          <cell r="AA393">
            <v>24.6449</v>
          </cell>
          <cell r="BC393" t="str">
            <v>M1150</v>
          </cell>
          <cell r="BD393" t="str">
            <v>Adesivo ADE 52 ou similar</v>
          </cell>
          <cell r="BE393" t="str">
            <v>kg</v>
          </cell>
          <cell r="BF393">
            <v>107.33329999999999</v>
          </cell>
          <cell r="BG393">
            <v>0</v>
          </cell>
          <cell r="CC393">
            <v>0</v>
          </cell>
          <cell r="CD393" t="str">
            <v>Concreto asfáltico com asfalto polímero - faixa C - areia e brita comerciais</v>
          </cell>
          <cell r="CE393" t="str">
            <v>t</v>
          </cell>
          <cell r="CF393">
            <v>1.5</v>
          </cell>
          <cell r="CG393">
            <v>3.5999999999999997E-2</v>
          </cell>
          <cell r="CH393">
            <v>1</v>
          </cell>
          <cell r="CI393">
            <v>4011466</v>
          </cell>
          <cell r="CJ393">
            <v>130.81939260452867</v>
          </cell>
          <cell r="CK393">
            <v>6.1859257986977418</v>
          </cell>
          <cell r="CL393">
            <v>4011466</v>
          </cell>
          <cell r="CM393">
            <v>135.10461380032868</v>
          </cell>
          <cell r="CN393">
            <v>6.3885567681623412</v>
          </cell>
        </row>
        <row r="394">
          <cell r="B394">
            <v>804310</v>
          </cell>
          <cell r="C394" t="str">
            <v>SICRO</v>
          </cell>
          <cell r="D394" t="str">
            <v>Corpo de BTTC D = 1,50 m PA2 - areia extraída e brita e pedra de mão produzidas</v>
          </cell>
          <cell r="E394" t="str">
            <v>m</v>
          </cell>
          <cell r="F394">
            <v>2676.1909842407522</v>
          </cell>
          <cell r="G394">
            <v>2676.1909842407522</v>
          </cell>
          <cell r="H394">
            <v>2676.1909842407522</v>
          </cell>
          <cell r="I394">
            <v>0</v>
          </cell>
          <cell r="J394">
            <v>2841.000720363636</v>
          </cell>
          <cell r="K394">
            <v>2841.000720363636</v>
          </cell>
          <cell r="L394">
            <v>2841.000720363636</v>
          </cell>
          <cell r="W394" t="str">
            <v>E9779</v>
          </cell>
          <cell r="X394" t="str">
            <v>Grupo gerador - 100/110 kVA</v>
          </cell>
          <cell r="Y394" t="str">
            <v>h</v>
          </cell>
          <cell r="Z394">
            <v>49.160200000000003</v>
          </cell>
          <cell r="AA394">
            <v>3.8102</v>
          </cell>
          <cell r="BC394" t="str">
            <v>M1142</v>
          </cell>
          <cell r="BD394" t="str">
            <v>Junta em perfil extrudado de borracha vulcanizada de 35 x 60 mm</v>
          </cell>
          <cell r="BE394" t="str">
            <v>m</v>
          </cell>
          <cell r="BF394">
            <v>723</v>
          </cell>
          <cell r="BG394">
            <v>0</v>
          </cell>
          <cell r="CC394">
            <v>0</v>
          </cell>
          <cell r="CD394" t="str">
            <v>Fornecimento de Material Betuminoso c/ polímero SBS</v>
          </cell>
          <cell r="CE394" t="str">
            <v>t</v>
          </cell>
          <cell r="CF394" t="str">
            <v>0,057732 t</v>
          </cell>
          <cell r="CG394">
            <v>2.0783519999999999E-3</v>
          </cell>
          <cell r="CH394">
            <v>1</v>
          </cell>
          <cell r="CI394" t="str">
            <v>CPU10</v>
          </cell>
          <cell r="CJ394">
            <v>4481.4349761078774</v>
          </cell>
          <cell r="CK394">
            <v>12.233938140266645</v>
          </cell>
          <cell r="CL394" t="str">
            <v>CPU10-1</v>
          </cell>
          <cell r="CM394">
            <v>4614.4401264709131</v>
          </cell>
          <cell r="CN394">
            <v>12.597030942137765</v>
          </cell>
        </row>
        <row r="395">
          <cell r="B395">
            <v>6817872</v>
          </cell>
          <cell r="C395" t="str">
            <v>SICRO</v>
          </cell>
          <cell r="D395" t="str">
            <v>Corpo BSCC - seção 3,0 x 3,0 m fechada - pré-moldado - tipo I - areia extraída e brita produzida</v>
          </cell>
          <cell r="E395" t="str">
            <v>m</v>
          </cell>
          <cell r="F395">
            <v>2942.8594464094713</v>
          </cell>
          <cell r="G395">
            <v>2942.8594464094713</v>
          </cell>
          <cell r="H395">
            <v>2942.8594464094713</v>
          </cell>
          <cell r="I395">
            <v>0</v>
          </cell>
          <cell r="J395">
            <v>2957.9930384796962</v>
          </cell>
          <cell r="K395">
            <v>2957.9930384796962</v>
          </cell>
          <cell r="L395">
            <v>2957.9930384796962</v>
          </cell>
          <cell r="W395" t="str">
            <v>E9694</v>
          </cell>
          <cell r="X395" t="str">
            <v>Misturador de argamassa de alta turbulência com capacidade de 220 l</v>
          </cell>
          <cell r="Y395" t="str">
            <v>h</v>
          </cell>
          <cell r="Z395">
            <v>30.424800000000001</v>
          </cell>
          <cell r="AA395">
            <v>29.316199999999998</v>
          </cell>
          <cell r="BC395" t="str">
            <v>M2320</v>
          </cell>
          <cell r="BD395" t="str">
            <v>Revestimento para estaca raiz SCH 80 - D Externo = 273,0 mm - 95,97 kg/m</v>
          </cell>
          <cell r="BE395" t="str">
            <v>m</v>
          </cell>
          <cell r="BF395">
            <v>1303.9000000000001</v>
          </cell>
          <cell r="BG395">
            <v>0</v>
          </cell>
          <cell r="CC395">
            <v>0</v>
          </cell>
          <cell r="CD395" t="str">
            <v>Pintura de ligação</v>
          </cell>
          <cell r="CE395" t="str">
            <v>m²</v>
          </cell>
          <cell r="CF395">
            <v>1</v>
          </cell>
          <cell r="CG395">
            <v>1</v>
          </cell>
          <cell r="CH395">
            <v>1</v>
          </cell>
          <cell r="CI395">
            <v>4011353</v>
          </cell>
          <cell r="CJ395">
            <v>0.18392808219669335</v>
          </cell>
          <cell r="CK395">
            <v>0.24158953596535671</v>
          </cell>
          <cell r="CL395">
            <v>4011353</v>
          </cell>
          <cell r="CM395">
            <v>0.18912484066666665</v>
          </cell>
          <cell r="CN395">
            <v>0.24841547821566662</v>
          </cell>
        </row>
        <row r="396">
          <cell r="B396">
            <v>804384</v>
          </cell>
          <cell r="C396" t="str">
            <v>SICRO</v>
          </cell>
          <cell r="D396" t="str">
            <v>Boca BSTC D = 0,80 m - esconsidade 0° - areia extraída e brita produzida - alas esconsas</v>
          </cell>
          <cell r="E396" t="str">
            <v>und</v>
          </cell>
          <cell r="F396">
            <v>1377.3244</v>
          </cell>
          <cell r="G396">
            <v>1377.3244</v>
          </cell>
          <cell r="H396">
            <v>1377.3244</v>
          </cell>
          <cell r="I396">
            <v>0</v>
          </cell>
          <cell r="J396">
            <v>1434.7238</v>
          </cell>
          <cell r="K396">
            <v>1434.7238</v>
          </cell>
          <cell r="L396">
            <v>1434.7238</v>
          </cell>
          <cell r="W396" t="str">
            <v>E9642</v>
          </cell>
          <cell r="X396" t="str">
            <v>Perfuratriz hidráulica sobre esteiras para estaca raiz - 56 kW</v>
          </cell>
          <cell r="Y396" t="str">
            <v>h</v>
          </cell>
          <cell r="Z396">
            <v>157.92320000000001</v>
          </cell>
          <cell r="AA396">
            <v>85.577699999999993</v>
          </cell>
          <cell r="BC396" t="str">
            <v>M3512</v>
          </cell>
          <cell r="BD396" t="str">
            <v>Material demolido - concreto armado</v>
          </cell>
          <cell r="BE396" t="str">
            <v>m³</v>
          </cell>
          <cell r="BF396">
            <v>0</v>
          </cell>
          <cell r="BG396">
            <v>0</v>
          </cell>
          <cell r="CC396">
            <v>0</v>
          </cell>
          <cell r="CD396" t="str">
            <v>Fornecimento de emulsão RR-1C</v>
          </cell>
          <cell r="CE396" t="str">
            <v>t</v>
          </cell>
          <cell r="CF396" t="str">
            <v>0,00045 t</v>
          </cell>
          <cell r="CG396">
            <v>4.4999999999999999E-4</v>
          </cell>
          <cell r="CH396">
            <v>1</v>
          </cell>
          <cell r="CI396" t="str">
            <v>CPU04</v>
          </cell>
          <cell r="CJ396">
            <v>2511.8507594331254</v>
          </cell>
          <cell r="CK396">
            <v>1.1303328417449063</v>
          </cell>
          <cell r="CL396" t="str">
            <v>CPU04-1</v>
          </cell>
          <cell r="CM396">
            <v>2535.6603093736671</v>
          </cell>
          <cell r="CN396">
            <v>1.1410471392181503</v>
          </cell>
        </row>
        <row r="397">
          <cell r="B397">
            <v>804392</v>
          </cell>
          <cell r="C397" t="str">
            <v>SICRO</v>
          </cell>
          <cell r="D397" t="str">
            <v>Boca BSTC D = 1,00 m - esconsidade 0° - areia extraída e brita produzida - alas esconsas</v>
          </cell>
          <cell r="E397" t="str">
            <v>und</v>
          </cell>
          <cell r="F397">
            <v>2068.8514500000001</v>
          </cell>
          <cell r="G397">
            <v>2068.8514500000001</v>
          </cell>
          <cell r="H397">
            <v>2068.8514500000001</v>
          </cell>
          <cell r="I397">
            <v>0</v>
          </cell>
          <cell r="J397">
            <v>2153.1250399999999</v>
          </cell>
          <cell r="K397">
            <v>2153.1250399999999</v>
          </cell>
          <cell r="L397">
            <v>2153.1250399999999</v>
          </cell>
          <cell r="W397" t="str">
            <v>M2321</v>
          </cell>
          <cell r="X397" t="str">
            <v>Revestimento para estaca raiz SCH 80 - D Externo = 323,8 mm - 132,04 kg/m</v>
          </cell>
          <cell r="Y397" t="str">
            <v>m</v>
          </cell>
          <cell r="Z397">
            <v>1513.0768</v>
          </cell>
          <cell r="AA397">
            <v>0</v>
          </cell>
          <cell r="BC397">
            <v>5915433</v>
          </cell>
          <cell r="BD397" t="str">
            <v>Carga, manobra e descarga de demolição de concreto asfáltico ou concreto cimento solto em caminhão basculante de 6 m³ - carga manual e descarga livre</v>
          </cell>
          <cell r="BE397" t="str">
            <v>t</v>
          </cell>
          <cell r="BF397">
            <v>62.43</v>
          </cell>
          <cell r="BG397">
            <v>0</v>
          </cell>
          <cell r="CC397">
            <v>0</v>
          </cell>
          <cell r="CD397" t="str">
            <v>Pintura de faixa - tinta base acrílica - espessura de 0,6 mm</v>
          </cell>
          <cell r="CE397" t="str">
            <v>m²</v>
          </cell>
          <cell r="CF397" t="str">
            <v>2 faixas cont. + 1 faixa não cont.</v>
          </cell>
          <cell r="CG397">
            <v>4.4871794871794872E-2</v>
          </cell>
          <cell r="CH397">
            <v>1</v>
          </cell>
          <cell r="CI397">
            <v>5213401</v>
          </cell>
          <cell r="CJ397">
            <v>20.390807290896916</v>
          </cell>
          <cell r="CK397">
            <v>1.2018158822830236</v>
          </cell>
          <cell r="CL397">
            <v>5213401</v>
          </cell>
          <cell r="CM397">
            <v>22.71825438768407</v>
          </cell>
          <cell r="CN397">
            <v>1.3389935254330845</v>
          </cell>
        </row>
        <row r="398">
          <cell r="B398">
            <v>804432</v>
          </cell>
          <cell r="C398" t="str">
            <v>SICRO</v>
          </cell>
          <cell r="D398" t="str">
            <v>Boca BDTC D = 1,50 m - esconsidade 0° - areia extraída e brita produzida - alas esconsas</v>
          </cell>
          <cell r="E398" t="str">
            <v>und</v>
          </cell>
          <cell r="F398">
            <v>6895.4966999999997</v>
          </cell>
          <cell r="G398">
            <v>6895.4966999999997</v>
          </cell>
          <cell r="H398">
            <v>6895.4966999999997</v>
          </cell>
          <cell r="I398">
            <v>0</v>
          </cell>
          <cell r="J398">
            <v>7158.4565599999996</v>
          </cell>
          <cell r="K398">
            <v>7158.4565599999996</v>
          </cell>
          <cell r="L398">
            <v>7158.4565599999996</v>
          </cell>
          <cell r="W398" t="str">
            <v>E9102</v>
          </cell>
          <cell r="X398" t="str">
            <v>Extrusora para sarjeta de concreto - 10,44 kW</v>
          </cell>
          <cell r="Y398" t="str">
            <v>h</v>
          </cell>
          <cell r="Z398">
            <v>39.789400000000001</v>
          </cell>
          <cell r="AA398">
            <v>31.637899999999998</v>
          </cell>
          <cell r="BC398">
            <v>2105605</v>
          </cell>
          <cell r="BD398" t="str">
            <v>Escoramento para corpo de bueiros celulares - utilização de 3 vezes - confecção, instalação e retirada</v>
          </cell>
          <cell r="BE398" t="str">
            <v>m³</v>
          </cell>
          <cell r="BF398">
            <v>39.9</v>
          </cell>
          <cell r="BG398">
            <v>0</v>
          </cell>
          <cell r="CC398">
            <v>0</v>
          </cell>
          <cell r="CD398" t="str">
            <v>Tacha refletiva monodirecional - fornecimento e colocação</v>
          </cell>
          <cell r="CE398" t="str">
            <v>un</v>
          </cell>
          <cell r="CF398" t="str">
            <v>3 / 16m / 7,8m largura</v>
          </cell>
          <cell r="CG398">
            <v>2.403846153846154E-2</v>
          </cell>
          <cell r="CH398">
            <v>1</v>
          </cell>
          <cell r="CI398">
            <v>5213359</v>
          </cell>
          <cell r="CJ398">
            <v>12.189996472111552</v>
          </cell>
          <cell r="CK398">
            <v>0.38489327803169532</v>
          </cell>
          <cell r="CL398">
            <v>5213359</v>
          </cell>
          <cell r="CM398">
            <v>14.739324009960159</v>
          </cell>
          <cell r="CN398">
            <v>0.46538706940102564</v>
          </cell>
        </row>
        <row r="399">
          <cell r="B399">
            <v>804456</v>
          </cell>
          <cell r="C399" t="str">
            <v>SICRO</v>
          </cell>
          <cell r="D399" t="str">
            <v>Boca BTTC D = 1,50 m - esconsidade 0° - areia extraída e brita produzida - alas esconsas</v>
          </cell>
          <cell r="E399" t="str">
            <v>und</v>
          </cell>
          <cell r="F399">
            <v>8715.4192000000003</v>
          </cell>
          <cell r="G399">
            <v>8715.4192000000003</v>
          </cell>
          <cell r="H399">
            <v>8715.4192000000003</v>
          </cell>
          <cell r="I399">
            <v>0</v>
          </cell>
          <cell r="J399">
            <v>9045.6709200000005</v>
          </cell>
          <cell r="K399">
            <v>9045.6709200000005</v>
          </cell>
          <cell r="L399">
            <v>9045.6709200000005</v>
          </cell>
          <cell r="W399">
            <v>1107928</v>
          </cell>
          <cell r="X399" t="str">
            <v xml:space="preserve">Concreto fck = 20 MPa - confecção em central dosadora de 30 m³/h - areia e brita comerciais  </v>
          </cell>
          <cell r="Y399" t="str">
            <v>m³</v>
          </cell>
          <cell r="Z399">
            <v>254.72</v>
          </cell>
          <cell r="AA399">
            <v>0</v>
          </cell>
          <cell r="BC399">
            <v>3108005</v>
          </cell>
          <cell r="BD399" t="str">
            <v>Formas de compensado resinado 14 mm - uso geral - utilização de 3 vezes - confecção, instalação e retirada</v>
          </cell>
          <cell r="BE399" t="str">
            <v>m²</v>
          </cell>
          <cell r="BF399">
            <v>61.73</v>
          </cell>
          <cell r="BG399">
            <v>0</v>
          </cell>
          <cell r="CC399">
            <v>0</v>
          </cell>
          <cell r="CD399">
            <v>0</v>
          </cell>
          <cell r="CE399">
            <v>0</v>
          </cell>
          <cell r="CF399">
            <v>0</v>
          </cell>
          <cell r="CG399">
            <v>0</v>
          </cell>
          <cell r="CH399">
            <v>0</v>
          </cell>
          <cell r="CI399">
            <v>0</v>
          </cell>
          <cell r="CJ399">
            <v>0</v>
          </cell>
          <cell r="CK399">
            <v>0</v>
          </cell>
          <cell r="CL399">
            <v>0</v>
          </cell>
          <cell r="CM399">
            <v>0</v>
          </cell>
          <cell r="CN399">
            <v>0</v>
          </cell>
        </row>
        <row r="400">
          <cell r="B400">
            <v>6817796</v>
          </cell>
          <cell r="C400" t="str">
            <v>SICRO</v>
          </cell>
          <cell r="D400" t="str">
            <v>Confecção de BSCC - seção 3,0 x 3,0 m fechada - tipo I - areia extraída e brita produzida</v>
          </cell>
          <cell r="E400" t="str">
            <v>m</v>
          </cell>
          <cell r="F400">
            <v>2483.1055068703445</v>
          </cell>
          <cell r="G400">
            <v>2483.1055068703445</v>
          </cell>
          <cell r="H400">
            <v>2483.1055068703445</v>
          </cell>
          <cell r="I400">
            <v>0</v>
          </cell>
          <cell r="J400">
            <v>2497.628513738186</v>
          </cell>
          <cell r="K400">
            <v>2497.628513738186</v>
          </cell>
          <cell r="L400">
            <v>2497.628513738186</v>
          </cell>
          <cell r="W400">
            <v>5919534</v>
          </cell>
          <cell r="X400" t="str">
            <v>Carga, manobra e descarga de concreto com caminhão betoneira em extrusora de sarjeta - carga em central de concreto de 30 m³/h</v>
          </cell>
          <cell r="Y400" t="str">
            <v>t</v>
          </cell>
          <cell r="Z400">
            <v>26</v>
          </cell>
          <cell r="AA400">
            <v>0</v>
          </cell>
          <cell r="BC400" t="str">
            <v>E9107</v>
          </cell>
          <cell r="BD400" t="str">
            <v>Compactador manual com soquete vibratório - 3 HP</v>
          </cell>
          <cell r="BE400" t="str">
            <v>h</v>
          </cell>
          <cell r="BF400">
            <v>2.6736</v>
          </cell>
          <cell r="BG400">
            <v>0.60360000000000003</v>
          </cell>
          <cell r="CC400">
            <v>0</v>
          </cell>
          <cell r="CD400">
            <v>0</v>
          </cell>
          <cell r="CE400">
            <v>0</v>
          </cell>
          <cell r="CF400">
            <v>0</v>
          </cell>
          <cell r="CG400">
            <v>0</v>
          </cell>
          <cell r="CH400">
            <v>0</v>
          </cell>
          <cell r="CI400">
            <v>0</v>
          </cell>
          <cell r="CJ400">
            <v>0</v>
          </cell>
          <cell r="CK400">
            <v>0</v>
          </cell>
          <cell r="CL400">
            <v>0</v>
          </cell>
          <cell r="CM400">
            <v>0</v>
          </cell>
          <cell r="CN400">
            <v>0</v>
          </cell>
        </row>
        <row r="401">
          <cell r="B401">
            <v>2003308</v>
          </cell>
          <cell r="C401" t="str">
            <v>SICRO</v>
          </cell>
          <cell r="D401" t="str">
            <v>Valeta de proteção de cortes com revestimento de concreto - VPC 04 - areia extraída e brita produzida</v>
          </cell>
          <cell r="E401" t="str">
            <v>m</v>
          </cell>
          <cell r="F401">
            <v>77.659112000000007</v>
          </cell>
          <cell r="G401">
            <v>77.659112000000007</v>
          </cell>
          <cell r="H401">
            <v>77.659112000000007</v>
          </cell>
          <cell r="I401">
            <v>0</v>
          </cell>
          <cell r="J401">
            <v>80.200367999999997</v>
          </cell>
          <cell r="K401">
            <v>80.200367999999997</v>
          </cell>
          <cell r="L401">
            <v>80.200367999999997</v>
          </cell>
          <cell r="W401" t="str">
            <v>M1429</v>
          </cell>
          <cell r="X401" t="str">
            <v>Tábua de pinho de terceira - E = 2,5 cm</v>
          </cell>
          <cell r="Y401" t="str">
            <v>m²</v>
          </cell>
          <cell r="Z401">
            <v>26.284800000000001</v>
          </cell>
          <cell r="AA401">
            <v>0</v>
          </cell>
          <cell r="BC401" t="str">
            <v>M2180</v>
          </cell>
          <cell r="BD401" t="str">
            <v>Tubo de concreto armado PA 2 - D = 1,20 m</v>
          </cell>
          <cell r="BE401" t="str">
            <v>m</v>
          </cell>
          <cell r="BF401">
            <v>411.26659999999998</v>
          </cell>
          <cell r="BG401">
            <v>0</v>
          </cell>
          <cell r="CC401">
            <v>0</v>
          </cell>
          <cell r="CD401">
            <v>0</v>
          </cell>
          <cell r="CE401">
            <v>0</v>
          </cell>
          <cell r="CF401">
            <v>0</v>
          </cell>
          <cell r="CG401">
            <v>0</v>
          </cell>
          <cell r="CH401">
            <v>0</v>
          </cell>
          <cell r="CI401">
            <v>0</v>
          </cell>
          <cell r="CJ401">
            <v>0</v>
          </cell>
          <cell r="CK401">
            <v>0</v>
          </cell>
          <cell r="CL401">
            <v>0</v>
          </cell>
          <cell r="CM401">
            <v>0</v>
          </cell>
          <cell r="CN401">
            <v>0</v>
          </cell>
        </row>
        <row r="402">
          <cell r="B402">
            <v>2003314</v>
          </cell>
          <cell r="C402" t="str">
            <v>SICRO</v>
          </cell>
          <cell r="D402" t="str">
            <v>Valeta de proteção de aterros com revestimento de concreto - VPA 04 - areia extraída e brita produzida</v>
          </cell>
          <cell r="E402" t="str">
            <v>m</v>
          </cell>
          <cell r="F402">
            <v>76.738112000000001</v>
          </cell>
          <cell r="G402">
            <v>76.738112000000001</v>
          </cell>
          <cell r="H402">
            <v>76.738112000000001</v>
          </cell>
          <cell r="I402">
            <v>0</v>
          </cell>
          <cell r="J402">
            <v>79.253367999999995</v>
          </cell>
          <cell r="K402">
            <v>79.253367999999995</v>
          </cell>
          <cell r="L402">
            <v>79.253367999999995</v>
          </cell>
          <cell r="W402" t="str">
            <v>M3234</v>
          </cell>
          <cell r="X402" t="str">
            <v>Cantoneira em aço de abas iguais de 1 1/4" x 1/8"</v>
          </cell>
          <cell r="Y402" t="str">
            <v>m</v>
          </cell>
          <cell r="Z402">
            <v>8.3557000000000006</v>
          </cell>
          <cell r="AA402">
            <v>0</v>
          </cell>
          <cell r="BC402" t="str">
            <v>M2535</v>
          </cell>
          <cell r="BD402" t="str">
            <v>Chapa múltipla MP 100 galvanizada - E = 1,6 mm e D = 1,0 m</v>
          </cell>
          <cell r="BE402" t="str">
            <v>m</v>
          </cell>
          <cell r="BF402">
            <v>855.77949999999998</v>
          </cell>
          <cell r="BG402">
            <v>0</v>
          </cell>
          <cell r="CC402">
            <v>0</v>
          </cell>
          <cell r="CD402">
            <v>0</v>
          </cell>
          <cell r="CE402">
            <v>0</v>
          </cell>
          <cell r="CF402">
            <v>0</v>
          </cell>
          <cell r="CG402">
            <v>0</v>
          </cell>
          <cell r="CH402">
            <v>0</v>
          </cell>
          <cell r="CI402">
            <v>0</v>
          </cell>
          <cell r="CJ402">
            <v>0</v>
          </cell>
          <cell r="CK402">
            <v>0</v>
          </cell>
          <cell r="CL402">
            <v>0</v>
          </cell>
          <cell r="CM402">
            <v>0</v>
          </cell>
          <cell r="CN402">
            <v>0</v>
          </cell>
        </row>
        <row r="403">
          <cell r="B403">
            <v>2003612</v>
          </cell>
          <cell r="C403" t="str">
            <v>SICRO</v>
          </cell>
          <cell r="D403" t="str">
            <v>Boca de saída para dreno sub-superficial - BSD 03 - areia extraída e brita produzida</v>
          </cell>
          <cell r="E403" t="str">
            <v>und</v>
          </cell>
          <cell r="F403">
            <v>106.8198</v>
          </cell>
          <cell r="G403">
            <v>106.8198</v>
          </cell>
          <cell r="H403">
            <v>106.8198</v>
          </cell>
          <cell r="I403">
            <v>0</v>
          </cell>
          <cell r="J403">
            <v>111.67602000000002</v>
          </cell>
          <cell r="K403">
            <v>111.67602000000002</v>
          </cell>
          <cell r="L403">
            <v>111.67602000000002</v>
          </cell>
          <cell r="W403">
            <v>5213436</v>
          </cell>
          <cell r="X403" t="str">
            <v xml:space="preserve">Confecção de placa em aluminio, espessura de 1,5 mm, modulada, aérea, com película retrorrefletiva tipo III + X  </v>
          </cell>
          <cell r="Y403" t="str">
            <v>m²</v>
          </cell>
          <cell r="Z403">
            <v>577.37</v>
          </cell>
          <cell r="AA403">
            <v>0</v>
          </cell>
          <cell r="BC403">
            <v>2003850</v>
          </cell>
          <cell r="BD403" t="str">
            <v xml:space="preserve">Lastro de brita comercial </v>
          </cell>
          <cell r="BE403" t="str">
            <v>m³</v>
          </cell>
          <cell r="BF403">
            <v>80.28</v>
          </cell>
          <cell r="BG403">
            <v>0</v>
          </cell>
          <cell r="CC403">
            <v>0</v>
          </cell>
          <cell r="CD403">
            <v>0</v>
          </cell>
          <cell r="CE403">
            <v>0</v>
          </cell>
          <cell r="CF403">
            <v>0</v>
          </cell>
          <cell r="CG403">
            <v>0</v>
          </cell>
          <cell r="CH403">
            <v>0</v>
          </cell>
          <cell r="CI403">
            <v>0</v>
          </cell>
          <cell r="CJ403">
            <v>0</v>
          </cell>
          <cell r="CK403">
            <v>0</v>
          </cell>
          <cell r="CL403">
            <v>0</v>
          </cell>
          <cell r="CM403">
            <v>0</v>
          </cell>
          <cell r="CN403">
            <v>0</v>
          </cell>
        </row>
        <row r="404">
          <cell r="B404">
            <v>2003318</v>
          </cell>
          <cell r="C404" t="str">
            <v>SICRO</v>
          </cell>
          <cell r="D404" t="str">
            <v>Sarjeta triangular de concreto - STC 01 - areia extraída e brita produzida</v>
          </cell>
          <cell r="E404" t="str">
            <v>m</v>
          </cell>
          <cell r="F404">
            <v>63.228954000000002</v>
          </cell>
          <cell r="G404">
            <v>63.228954000000002</v>
          </cell>
          <cell r="H404">
            <v>63.228954000000002</v>
          </cell>
          <cell r="I404">
            <v>0</v>
          </cell>
          <cell r="J404">
            <v>65.384402000000009</v>
          </cell>
          <cell r="K404">
            <v>65.384402000000009</v>
          </cell>
          <cell r="L404">
            <v>65.384402000000009</v>
          </cell>
          <cell r="W404" t="str">
            <v>M0818</v>
          </cell>
          <cell r="X404" t="str">
            <v>Semi-pórtico metálico para vão de 8,3 m e vento de 40 m/s</v>
          </cell>
          <cell r="Y404" t="str">
            <v>un</v>
          </cell>
          <cell r="Z404">
            <v>25788.757399999999</v>
          </cell>
          <cell r="AA404">
            <v>0</v>
          </cell>
          <cell r="BC404" t="str">
            <v>M2540</v>
          </cell>
          <cell r="BD404" t="str">
            <v>Chapa múltipla MP 100 galvanizada - E = 1,6 mm e D = 1,5 m</v>
          </cell>
          <cell r="BE404" t="str">
            <v>m</v>
          </cell>
          <cell r="BF404">
            <v>1275.2756999999999</v>
          </cell>
          <cell r="BG404">
            <v>0</v>
          </cell>
          <cell r="CC404">
            <v>0</v>
          </cell>
          <cell r="CD404">
            <v>0</v>
          </cell>
          <cell r="CE404">
            <v>0</v>
          </cell>
          <cell r="CF404">
            <v>0</v>
          </cell>
          <cell r="CG404">
            <v>0</v>
          </cell>
          <cell r="CH404">
            <v>0</v>
          </cell>
          <cell r="CI404">
            <v>0</v>
          </cell>
          <cell r="CJ404">
            <v>0</v>
          </cell>
          <cell r="CK404">
            <v>0</v>
          </cell>
          <cell r="CL404">
            <v>0</v>
          </cell>
          <cell r="CM404">
            <v>0</v>
          </cell>
          <cell r="CN404">
            <v>0</v>
          </cell>
        </row>
        <row r="405">
          <cell r="B405">
            <v>2003342</v>
          </cell>
          <cell r="C405" t="str">
            <v>SICRO</v>
          </cell>
          <cell r="D405" t="str">
            <v>Sarjeta trapezoidal de concreto - SZC 01 - areia extraída e brita produzida</v>
          </cell>
          <cell r="E405" t="str">
            <v>m</v>
          </cell>
          <cell r="F405">
            <v>49.361809000000001</v>
          </cell>
          <cell r="G405">
            <v>49.361809000000001</v>
          </cell>
          <cell r="H405">
            <v>49.361809000000001</v>
          </cell>
          <cell r="I405">
            <v>0</v>
          </cell>
          <cell r="J405">
            <v>51.024554000000002</v>
          </cell>
          <cell r="K405">
            <v>51.024554000000002</v>
          </cell>
          <cell r="L405">
            <v>51.024554000000002</v>
          </cell>
          <cell r="W405" t="str">
            <v>M0081</v>
          </cell>
          <cell r="X405" t="str">
            <v>Areia grossa</v>
          </cell>
          <cell r="Y405" t="str">
            <v>m³</v>
          </cell>
          <cell r="Z405">
            <v>76.457099999999997</v>
          </cell>
          <cell r="AA405">
            <v>0</v>
          </cell>
          <cell r="BC405" t="str">
            <v>M2541</v>
          </cell>
          <cell r="BD405" t="str">
            <v>Chapa múltipla MP 100 galvanizada - E = 1,6 mm e D = 1,6 m</v>
          </cell>
          <cell r="BE405" t="str">
            <v>m</v>
          </cell>
          <cell r="BF405">
            <v>1359.1754000000001</v>
          </cell>
          <cell r="BG405">
            <v>0</v>
          </cell>
          <cell r="CC405">
            <v>0</v>
          </cell>
          <cell r="CD405">
            <v>0</v>
          </cell>
          <cell r="CE405">
            <v>0</v>
          </cell>
          <cell r="CF405">
            <v>0</v>
          </cell>
          <cell r="CG405">
            <v>0</v>
          </cell>
          <cell r="CH405">
            <v>0</v>
          </cell>
          <cell r="CI405">
            <v>0</v>
          </cell>
          <cell r="CJ405">
            <v>0</v>
          </cell>
          <cell r="CK405">
            <v>0</v>
          </cell>
          <cell r="CL405">
            <v>0</v>
          </cell>
          <cell r="CM405">
            <v>0</v>
          </cell>
          <cell r="CN405">
            <v>0</v>
          </cell>
        </row>
        <row r="406">
          <cell r="B406">
            <v>2003348</v>
          </cell>
          <cell r="C406" t="str">
            <v>SICRO</v>
          </cell>
          <cell r="D406" t="str">
            <v>Sarjeta de canteiro central de concreto - SCC 01 - areia extraída e brita produzida</v>
          </cell>
          <cell r="E406" t="str">
            <v>m</v>
          </cell>
          <cell r="F406">
            <v>34.953745999999995</v>
          </cell>
          <cell r="G406">
            <v>34.953745999999995</v>
          </cell>
          <cell r="H406">
            <v>34.953745999999995</v>
          </cell>
          <cell r="I406">
            <v>0</v>
          </cell>
          <cell r="J406">
            <v>36.282616999999995</v>
          </cell>
          <cell r="K406">
            <v>36.282616999999995</v>
          </cell>
          <cell r="L406">
            <v>36.282616999999995</v>
          </cell>
          <cell r="W406" t="str">
            <v>M0103</v>
          </cell>
          <cell r="X406" t="str">
            <v>Aditivo antirricochete para concreto projetado</v>
          </cell>
          <cell r="Y406" t="str">
            <v>kg</v>
          </cell>
          <cell r="Z406">
            <v>4.6951000000000001</v>
          </cell>
          <cell r="AA406">
            <v>0</v>
          </cell>
          <cell r="BC406" t="str">
            <v>M2543</v>
          </cell>
          <cell r="BD406" t="str">
            <v>Chapa múltipla MP 100 galvanizada - E = 1,6 mm e D = 1,8 m</v>
          </cell>
          <cell r="BE406" t="str">
            <v>m</v>
          </cell>
          <cell r="BF406">
            <v>1510.1957</v>
          </cell>
          <cell r="BG406">
            <v>0</v>
          </cell>
          <cell r="CC406">
            <v>0</v>
          </cell>
          <cell r="CD406">
            <v>0</v>
          </cell>
          <cell r="CE406">
            <v>0</v>
          </cell>
          <cell r="CF406">
            <v>0</v>
          </cell>
          <cell r="CG406">
            <v>0</v>
          </cell>
          <cell r="CH406">
            <v>0</v>
          </cell>
          <cell r="CI406">
            <v>0</v>
          </cell>
          <cell r="CJ406">
            <v>0</v>
          </cell>
          <cell r="CK406">
            <v>0</v>
          </cell>
          <cell r="CL406">
            <v>0</v>
          </cell>
          <cell r="CM406">
            <v>0</v>
          </cell>
          <cell r="CN406">
            <v>0</v>
          </cell>
        </row>
        <row r="407">
          <cell r="B407">
            <v>2003350</v>
          </cell>
          <cell r="C407" t="str">
            <v>SICRO</v>
          </cell>
          <cell r="D407" t="str">
            <v>Sarjeta de canteiro central de concreto - SCC 02 - areia extraída e brita produzida</v>
          </cell>
          <cell r="E407" t="str">
            <v>m</v>
          </cell>
          <cell r="F407">
            <v>46.732158000000005</v>
          </cell>
          <cell r="G407">
            <v>46.732158000000005</v>
          </cell>
          <cell r="H407">
            <v>46.732158000000005</v>
          </cell>
          <cell r="I407">
            <v>0</v>
          </cell>
          <cell r="J407">
            <v>48.511319999999998</v>
          </cell>
          <cell r="K407">
            <v>48.511319999999998</v>
          </cell>
          <cell r="L407">
            <v>48.511319999999998</v>
          </cell>
          <cell r="W407" t="str">
            <v>M0005</v>
          </cell>
          <cell r="X407" t="str">
            <v>Brita 0</v>
          </cell>
          <cell r="Y407" t="str">
            <v>m³</v>
          </cell>
          <cell r="Z407">
            <v>87.293300000000002</v>
          </cell>
          <cell r="AA407">
            <v>0</v>
          </cell>
          <cell r="BC407" t="str">
            <v>M2545</v>
          </cell>
          <cell r="BD407" t="str">
            <v>Chapa múltipla MP 100 galvanizada - E = 2,0 mm e D = 2,0 m</v>
          </cell>
          <cell r="BE407" t="str">
            <v>m</v>
          </cell>
          <cell r="BF407">
            <v>1877.1772000000001</v>
          </cell>
          <cell r="BG407">
            <v>0</v>
          </cell>
        </row>
        <row r="408">
          <cell r="B408">
            <v>2003368</v>
          </cell>
          <cell r="C408" t="str">
            <v>SICRO</v>
          </cell>
          <cell r="D408" t="str">
            <v>Meio fio de concreto - MFC 01 - areia extraída e brita produzida - forma de madeira</v>
          </cell>
          <cell r="E408" t="str">
            <v>m</v>
          </cell>
          <cell r="F408">
            <v>44.330918000000004</v>
          </cell>
          <cell r="G408">
            <v>44.330918000000004</v>
          </cell>
          <cell r="H408">
            <v>44.330918000000004</v>
          </cell>
          <cell r="I408">
            <v>0</v>
          </cell>
          <cell r="J408">
            <v>46.099961</v>
          </cell>
          <cell r="K408">
            <v>46.099961</v>
          </cell>
          <cell r="L408">
            <v>46.099961</v>
          </cell>
          <cell r="W408" t="str">
            <v>M0010</v>
          </cell>
          <cell r="X408" t="str">
            <v>Superplastificante</v>
          </cell>
          <cell r="Y408" t="str">
            <v>l</v>
          </cell>
          <cell r="Z408">
            <v>9.9360999999999997</v>
          </cell>
          <cell r="AA408">
            <v>0</v>
          </cell>
          <cell r="BC408" t="str">
            <v>M2550</v>
          </cell>
          <cell r="BD408" t="str">
            <v>Chapa múltipla MP 100 galvanizada - E = 3,4 mm e D = 2,5 m</v>
          </cell>
          <cell r="BE408" t="str">
            <v>m</v>
          </cell>
          <cell r="BF408">
            <v>3595.7955000000002</v>
          </cell>
          <cell r="BG408">
            <v>0</v>
          </cell>
        </row>
        <row r="409">
          <cell r="B409">
            <v>2003476</v>
          </cell>
          <cell r="C409" t="str">
            <v>SICRO</v>
          </cell>
          <cell r="D409" t="str">
            <v>Caixa coletora de sarjeta - CCS 01 - com grelha de concreto - TCC 01 - areia extraída e brita produzida</v>
          </cell>
          <cell r="E409" t="str">
            <v>und</v>
          </cell>
          <cell r="F409">
            <v>2936.7257600000003</v>
          </cell>
          <cell r="G409">
            <v>2936.7257600000003</v>
          </cell>
          <cell r="H409">
            <v>2936.7257600000003</v>
          </cell>
          <cell r="I409">
            <v>0</v>
          </cell>
          <cell r="J409">
            <v>3047.1408000000001</v>
          </cell>
          <cell r="K409">
            <v>3047.1408000000001</v>
          </cell>
          <cell r="L409">
            <v>3047.1408000000001</v>
          </cell>
          <cell r="W409" t="str">
            <v>E9556</v>
          </cell>
          <cell r="X409" t="str">
            <v>Compactador manual de placa vibratória - 3 kW</v>
          </cell>
          <cell r="Y409" t="str">
            <v>h</v>
          </cell>
          <cell r="Z409">
            <v>5.1933999999999996</v>
          </cell>
          <cell r="AA409">
            <v>1.3923000000000001</v>
          </cell>
          <cell r="BC409" t="str">
            <v>M2551</v>
          </cell>
          <cell r="BD409" t="str">
            <v>Chapa múltipla MP 100 galvanizada - E = 3,4 mm e D = 2,6 m</v>
          </cell>
          <cell r="BE409" t="str">
            <v>m</v>
          </cell>
          <cell r="BF409">
            <v>3800.3618999999999</v>
          </cell>
          <cell r="BG409">
            <v>0</v>
          </cell>
        </row>
        <row r="410">
          <cell r="B410">
            <v>2003482</v>
          </cell>
          <cell r="C410" t="str">
            <v>SICRO</v>
          </cell>
          <cell r="D410" t="str">
            <v>Caixa coletora de sarjeta - CCS 04 - com grelha de concreto - TCC 01 - areia extraída e brita produzida</v>
          </cell>
          <cell r="E410" t="str">
            <v>und</v>
          </cell>
          <cell r="F410">
            <v>2864.5607600000003</v>
          </cell>
          <cell r="G410">
            <v>2864.5607600000003</v>
          </cell>
          <cell r="H410">
            <v>2864.5607600000003</v>
          </cell>
          <cell r="I410">
            <v>0</v>
          </cell>
          <cell r="J410">
            <v>2973.0047999999997</v>
          </cell>
          <cell r="K410">
            <v>2973.0047999999997</v>
          </cell>
          <cell r="L410">
            <v>2973.0047999999997</v>
          </cell>
          <cell r="W410" t="str">
            <v>M3177</v>
          </cell>
          <cell r="X410" t="str">
            <v>Fita metálica SAE 1010/1020, barra chata galvanizada, de 50 x 4 mm</v>
          </cell>
          <cell r="Y410" t="str">
            <v>kg</v>
          </cell>
          <cell r="Z410">
            <v>9.2744999999999997</v>
          </cell>
          <cell r="AA410">
            <v>0</v>
          </cell>
          <cell r="BC410" t="str">
            <v>M2552</v>
          </cell>
          <cell r="BD410" t="str">
            <v>Chapa múltipla MP 100 galvanizada - E = 3,4 mm e D = 2,7 m</v>
          </cell>
          <cell r="BE410" t="str">
            <v>m</v>
          </cell>
          <cell r="BF410">
            <v>3873.5201000000002</v>
          </cell>
          <cell r="BG410">
            <v>0</v>
          </cell>
        </row>
        <row r="411">
          <cell r="B411">
            <v>2003392</v>
          </cell>
          <cell r="C411" t="str">
            <v>SICRO</v>
          </cell>
          <cell r="D411" t="str">
            <v>Descida d'água de aterros tipo rápido - DAR 03 - areia extraída e brita produzida</v>
          </cell>
          <cell r="E411" t="str">
            <v>m</v>
          </cell>
          <cell r="F411">
            <v>162.48685400000002</v>
          </cell>
          <cell r="G411">
            <v>162.48685400000002</v>
          </cell>
          <cell r="H411">
            <v>162.48685400000002</v>
          </cell>
          <cell r="I411">
            <v>0</v>
          </cell>
          <cell r="J411">
            <v>168.9530096</v>
          </cell>
          <cell r="K411">
            <v>168.9530096</v>
          </cell>
          <cell r="L411">
            <v>168.9530096</v>
          </cell>
          <cell r="W411" t="str">
            <v>M3174</v>
          </cell>
          <cell r="X411" t="str">
            <v>Chumbador em aço SAE 1010/1020, barra chata galvanizada, de 60 x 4 mm</v>
          </cell>
          <cell r="Y411" t="str">
            <v>kg</v>
          </cell>
          <cell r="Z411">
            <v>6.69</v>
          </cell>
          <cell r="AA411">
            <v>0</v>
          </cell>
          <cell r="BC411" t="str">
            <v>M2560</v>
          </cell>
          <cell r="BD411" t="str">
            <v>Chapa múltipla MP 152 galvanizada - E = 2,7 mm e D = 3,05 m</v>
          </cell>
          <cell r="BE411" t="str">
            <v>m</v>
          </cell>
          <cell r="BF411">
            <v>5395.8285999999998</v>
          </cell>
          <cell r="BG411">
            <v>0</v>
          </cell>
        </row>
        <row r="412">
          <cell r="B412">
            <v>2003396</v>
          </cell>
          <cell r="C412" t="str">
            <v>SICRO</v>
          </cell>
          <cell r="D412" t="str">
            <v>Descida d'água de cortes em degraus - DCD 01 - areia extraída e brita produzida</v>
          </cell>
          <cell r="E412" t="str">
            <v>m</v>
          </cell>
          <cell r="F412">
            <v>352.66072680000002</v>
          </cell>
          <cell r="G412">
            <v>352.66072680000002</v>
          </cell>
          <cell r="H412">
            <v>352.66072680000002</v>
          </cell>
          <cell r="I412">
            <v>0</v>
          </cell>
          <cell r="J412">
            <v>367.59994619999998</v>
          </cell>
          <cell r="K412">
            <v>367.59994619999998</v>
          </cell>
          <cell r="L412">
            <v>367.59994619999998</v>
          </cell>
          <cell r="W412" t="str">
            <v>M3173</v>
          </cell>
          <cell r="X412" t="str">
            <v>Parafuso cabeça sextavada zincado a fogo M12 x 30, classe 8.8 - D = 13 mm</v>
          </cell>
          <cell r="Y412" t="str">
            <v>un</v>
          </cell>
          <cell r="Z412">
            <v>0.73499999999999999</v>
          </cell>
          <cell r="AA412">
            <v>0</v>
          </cell>
          <cell r="BC412" t="str">
            <v>M2562</v>
          </cell>
          <cell r="BD412" t="str">
            <v>Chapa múltipla MP 152 galvanizada - E = 2,7 mm e D = 3,40 m</v>
          </cell>
          <cell r="BE412" t="str">
            <v>m</v>
          </cell>
          <cell r="BF412">
            <v>6066.0303000000004</v>
          </cell>
          <cell r="BG412">
            <v>0</v>
          </cell>
        </row>
        <row r="413">
          <cell r="B413">
            <v>2003404</v>
          </cell>
          <cell r="C413" t="str">
            <v>SICRO</v>
          </cell>
          <cell r="D413" t="str">
            <v>Descida d'água de aterros em degraus - DAD 01 - areia extraída e brita produzida</v>
          </cell>
          <cell r="E413" t="str">
            <v>m</v>
          </cell>
          <cell r="F413">
            <v>102.63115320000001</v>
          </cell>
          <cell r="G413">
            <v>102.63115320000001</v>
          </cell>
          <cell r="H413">
            <v>102.63115320000001</v>
          </cell>
          <cell r="I413">
            <v>0</v>
          </cell>
          <cell r="J413">
            <v>106.7972738</v>
          </cell>
          <cell r="K413">
            <v>106.7972738</v>
          </cell>
          <cell r="L413">
            <v>106.7972738</v>
          </cell>
          <cell r="W413" t="str">
            <v>M3172</v>
          </cell>
          <cell r="X413" t="str">
            <v>Porca sextavada galvanizada M12, classe 8.8 - D = 13 mm - DIN 934</v>
          </cell>
          <cell r="Y413" t="str">
            <v>un</v>
          </cell>
          <cell r="Z413">
            <v>0.24199999999999999</v>
          </cell>
          <cell r="AA413">
            <v>0</v>
          </cell>
          <cell r="BC413" t="str">
            <v>M2565</v>
          </cell>
          <cell r="BD413" t="str">
            <v>Chapa múltipla MP 152 galvanizada - E = 2,7 mm e D = 4,20 m</v>
          </cell>
          <cell r="BE413" t="str">
            <v>m</v>
          </cell>
          <cell r="BF413">
            <v>7423.8962000000001</v>
          </cell>
          <cell r="BG413">
            <v>0</v>
          </cell>
        </row>
        <row r="414">
          <cell r="B414">
            <v>2003384</v>
          </cell>
          <cell r="C414" t="str">
            <v>SICRO</v>
          </cell>
          <cell r="D414" t="str">
            <v>Entrada para descida d'água - EDA 01 - areia extraída e brita produzida</v>
          </cell>
          <cell r="E414" t="str">
            <v>und</v>
          </cell>
          <cell r="F414">
            <v>32.662500000000001</v>
          </cell>
          <cell r="G414">
            <v>32.662500000000001</v>
          </cell>
          <cell r="H414">
            <v>32.662500000000001</v>
          </cell>
          <cell r="I414">
            <v>0</v>
          </cell>
          <cell r="J414">
            <v>33.6982</v>
          </cell>
          <cell r="K414">
            <v>33.6982</v>
          </cell>
          <cell r="L414">
            <v>33.6982</v>
          </cell>
          <cell r="W414" t="str">
            <v>M1880</v>
          </cell>
          <cell r="X414" t="str">
            <v>Tubo PEAD 80 PN8 - D = 20 mm</v>
          </cell>
          <cell r="Y414" t="str">
            <v>m</v>
          </cell>
          <cell r="Z414">
            <v>2.9457</v>
          </cell>
          <cell r="AA414">
            <v>0</v>
          </cell>
          <cell r="BC414" t="str">
            <v>M2566</v>
          </cell>
          <cell r="BD414" t="str">
            <v>Chapa múltipla MP 152 galvanizada - E = 2,7 mm e D = 4,60 m</v>
          </cell>
          <cell r="BE414" t="str">
            <v>m</v>
          </cell>
          <cell r="BF414">
            <v>8093.7479999999996</v>
          </cell>
          <cell r="BG414">
            <v>0</v>
          </cell>
        </row>
        <row r="415">
          <cell r="B415">
            <v>2003386</v>
          </cell>
          <cell r="C415" t="str">
            <v>SICRO</v>
          </cell>
          <cell r="D415" t="str">
            <v>Entrada para descida d'água - EDA 02 - areia extraída e brita produzida</v>
          </cell>
          <cell r="E415" t="str">
            <v>und</v>
          </cell>
          <cell r="F415">
            <v>39.879000000000005</v>
          </cell>
          <cell r="G415">
            <v>39.879000000000005</v>
          </cell>
          <cell r="H415">
            <v>39.879000000000005</v>
          </cell>
          <cell r="I415">
            <v>0</v>
          </cell>
          <cell r="J415">
            <v>41.111800000000002</v>
          </cell>
          <cell r="K415">
            <v>41.111800000000002</v>
          </cell>
          <cell r="L415">
            <v>41.111800000000002</v>
          </cell>
          <cell r="W415">
            <v>5405986</v>
          </cell>
          <cell r="X415" t="str">
            <v xml:space="preserve">Moldes metálicos para solo reforçado com fita metálica - formato cruciforme de 1,50 x 1,50 m - utilização de 100 vezes </v>
          </cell>
          <cell r="Y415" t="str">
            <v>m³</v>
          </cell>
          <cell r="Z415">
            <v>55.93</v>
          </cell>
          <cell r="AA415">
            <v>0</v>
          </cell>
          <cell r="BC415" t="str">
            <v>M2564</v>
          </cell>
          <cell r="BD415" t="str">
            <v>Chapa múltipla MP 152 galvanizada - E = 2,7 mm e D = 3,80 m</v>
          </cell>
          <cell r="BE415" t="str">
            <v>m</v>
          </cell>
          <cell r="BF415">
            <v>6736.1297000000004</v>
          </cell>
          <cell r="BG415">
            <v>0</v>
          </cell>
        </row>
        <row r="416">
          <cell r="B416">
            <v>2003440</v>
          </cell>
          <cell r="C416" t="str">
            <v>SICRO</v>
          </cell>
          <cell r="D416" t="str">
            <v>Dissipador de energia - DES 01 - areia extraída e pedra de mão produzida</v>
          </cell>
          <cell r="E416" t="str">
            <v>und</v>
          </cell>
          <cell r="F416">
            <v>144.42519540683998</v>
          </cell>
          <cell r="G416">
            <v>144.42519540683998</v>
          </cell>
          <cell r="H416">
            <v>144.42519540683998</v>
          </cell>
          <cell r="I416">
            <v>0</v>
          </cell>
          <cell r="J416">
            <v>138.19412079999998</v>
          </cell>
          <cell r="K416">
            <v>138.19412079999998</v>
          </cell>
          <cell r="L416">
            <v>138.19412079999998</v>
          </cell>
          <cell r="W416" t="str">
            <v>M2102</v>
          </cell>
          <cell r="X416" t="str">
            <v>Adesivo PVA</v>
          </cell>
          <cell r="Y416" t="str">
            <v>kg</v>
          </cell>
          <cell r="Z416">
            <v>12.303599999999999</v>
          </cell>
          <cell r="AA416">
            <v>0</v>
          </cell>
          <cell r="BC416">
            <v>6416056</v>
          </cell>
          <cell r="BD416" t="str">
            <v xml:space="preserve">Usinagem de solo cimento com 7% de cimento com material de jazida em usina de 300 t/h </v>
          </cell>
          <cell r="BE416" t="str">
            <v>m³</v>
          </cell>
          <cell r="BF416">
            <v>52.32</v>
          </cell>
          <cell r="BG416">
            <v>0</v>
          </cell>
        </row>
        <row r="417">
          <cell r="B417">
            <v>2003448</v>
          </cell>
          <cell r="C417" t="str">
            <v>SICRO</v>
          </cell>
          <cell r="D417" t="str">
            <v>Dissipador de energia - DEB 01 - areia extraída e pedra de mão produzida</v>
          </cell>
          <cell r="E417" t="str">
            <v>und</v>
          </cell>
          <cell r="F417">
            <v>372.95589544800004</v>
          </cell>
          <cell r="G417">
            <v>372.95589544800004</v>
          </cell>
          <cell r="H417">
            <v>372.95589544800004</v>
          </cell>
          <cell r="I417">
            <v>0</v>
          </cell>
          <cell r="J417">
            <v>379.86848189100004</v>
          </cell>
          <cell r="K417">
            <v>379.86848189100004</v>
          </cell>
          <cell r="L417">
            <v>379.86848189100004</v>
          </cell>
          <cell r="W417" t="str">
            <v>M3170</v>
          </cell>
          <cell r="X417" t="str">
            <v>Apoio de neoprene simples de 100 x 100 x 20 mm</v>
          </cell>
          <cell r="Y417" t="str">
            <v>un</v>
          </cell>
          <cell r="Z417">
            <v>16.047999999999998</v>
          </cell>
          <cell r="AA417">
            <v>0</v>
          </cell>
          <cell r="BC417">
            <v>5919540</v>
          </cell>
          <cell r="BD417" t="str">
            <v>Carga, manobra e descarga de concreto de cimento em caminhão basculante de 7 m³ - carga em central de concreto de 150 m³/h e descarga em vibro-acabadora</v>
          </cell>
          <cell r="BE417" t="str">
            <v>t</v>
          </cell>
          <cell r="BF417">
            <v>1.94</v>
          </cell>
          <cell r="BG417">
            <v>0</v>
          </cell>
        </row>
        <row r="418">
          <cell r="B418">
            <v>2003454</v>
          </cell>
          <cell r="C418" t="str">
            <v>SICRO</v>
          </cell>
          <cell r="D418" t="str">
            <v>Dissipador de energia - DEB 04 - areia extraída e pedra de mão produzida</v>
          </cell>
          <cell r="E418" t="str">
            <v>und</v>
          </cell>
          <cell r="F418">
            <v>1718.0944531939201</v>
          </cell>
          <cell r="G418">
            <v>1718.0944531939201</v>
          </cell>
          <cell r="H418">
            <v>1718.0944531939201</v>
          </cell>
          <cell r="I418">
            <v>0</v>
          </cell>
          <cell r="J418">
            <v>1734.9387401857734</v>
          </cell>
          <cell r="K418">
            <v>1734.9387401857734</v>
          </cell>
          <cell r="L418">
            <v>1734.9387401857734</v>
          </cell>
          <cell r="W418" t="str">
            <v>M2050</v>
          </cell>
          <cell r="X418" t="str">
            <v>Geotêxtil não-tecido agulhado RT 09</v>
          </cell>
          <cell r="Y418" t="str">
            <v>m²</v>
          </cell>
          <cell r="Z418">
            <v>4.0999999999999996</v>
          </cell>
          <cell r="AA418">
            <v>0</v>
          </cell>
          <cell r="BC418">
            <v>6416092</v>
          </cell>
          <cell r="BD418" t="str">
            <v xml:space="preserve">Usinagem para sub-base de concreto compactado com rolo - brita comercial </v>
          </cell>
          <cell r="BE418" t="str">
            <v>m³</v>
          </cell>
          <cell r="BF418">
            <v>145.80000000000001</v>
          </cell>
          <cell r="BG418">
            <v>0</v>
          </cell>
        </row>
        <row r="419">
          <cell r="B419">
            <v>2003633</v>
          </cell>
          <cell r="C419" t="str">
            <v>SICRO</v>
          </cell>
          <cell r="D419" t="str">
            <v>Boca de lobo dupla - grelha de concreto - BLDG 01 - areia extraída e brita produzida</v>
          </cell>
          <cell r="E419" t="str">
            <v>und</v>
          </cell>
          <cell r="F419">
            <v>1355.1353000000001</v>
          </cell>
          <cell r="G419">
            <v>1355.1353000000001</v>
          </cell>
          <cell r="H419">
            <v>1355.1353000000001</v>
          </cell>
          <cell r="I419">
            <v>0</v>
          </cell>
          <cell r="J419">
            <v>1441.9681800000003</v>
          </cell>
          <cell r="K419">
            <v>1441.9681800000003</v>
          </cell>
          <cell r="L419">
            <v>1441.9681800000003</v>
          </cell>
          <cell r="W419">
            <v>5405979</v>
          </cell>
          <cell r="X419" t="str">
            <v xml:space="preserve">Travamento e nivelamento de escama de concreto armado em solo reforçado com fita metálica </v>
          </cell>
          <cell r="Y419" t="str">
            <v>m²</v>
          </cell>
          <cell r="Z419">
            <v>14.89</v>
          </cell>
          <cell r="AA419">
            <v>0</v>
          </cell>
          <cell r="BC419" t="str">
            <v>E9589</v>
          </cell>
          <cell r="BD419" t="str">
            <v>Texturizadora/cura - 44,8 kW</v>
          </cell>
          <cell r="BE419" t="str">
            <v>h</v>
          </cell>
          <cell r="BF419">
            <v>137.07060000000001</v>
          </cell>
          <cell r="BG419">
            <v>78.040300000000002</v>
          </cell>
        </row>
        <row r="420">
          <cell r="B420">
            <v>2003677</v>
          </cell>
          <cell r="C420" t="str">
            <v>SICRO</v>
          </cell>
          <cell r="D420" t="str">
            <v>Poço de visita - PVI 01 - areia extraída e brita produzida</v>
          </cell>
          <cell r="E420" t="str">
            <v>und</v>
          </cell>
          <cell r="F420">
            <v>1492.3780000000002</v>
          </cell>
          <cell r="G420">
            <v>1492.3780000000002</v>
          </cell>
          <cell r="H420">
            <v>1492.3780000000002</v>
          </cell>
          <cell r="I420">
            <v>0</v>
          </cell>
          <cell r="J420">
            <v>1556.3563000000001</v>
          </cell>
          <cell r="K420">
            <v>1556.3563000000001</v>
          </cell>
          <cell r="L420">
            <v>1556.3563000000001</v>
          </cell>
          <cell r="W420" t="str">
            <v>E9607</v>
          </cell>
          <cell r="X420" t="str">
            <v>Conjunto de britagem para rachão com capacidade de 80 m³/h</v>
          </cell>
          <cell r="Y420" t="str">
            <v>h</v>
          </cell>
          <cell r="Z420">
            <v>212.8672</v>
          </cell>
          <cell r="AA420">
            <v>149.44579999999999</v>
          </cell>
          <cell r="BC420" t="str">
            <v>E9588</v>
          </cell>
          <cell r="BD420" t="str">
            <v>Vibroacabadora de concreto com formas deslizantes - 205 kW</v>
          </cell>
          <cell r="BE420" t="str">
            <v>h</v>
          </cell>
          <cell r="BF420">
            <v>525.49760000000003</v>
          </cell>
          <cell r="BG420">
            <v>234.80289999999999</v>
          </cell>
        </row>
        <row r="421">
          <cell r="B421">
            <v>1505859</v>
          </cell>
          <cell r="C421" t="str">
            <v>SICRO</v>
          </cell>
          <cell r="D421" t="str">
            <v>Enrocamento de pedra jogada - pedra de mão produzida - confecção e assentamento</v>
          </cell>
          <cell r="E421" t="str">
            <v>m³</v>
          </cell>
          <cell r="F421">
            <v>103.7991322125</v>
          </cell>
          <cell r="G421">
            <v>103.7991322125</v>
          </cell>
          <cell r="H421">
            <v>103.7991322125</v>
          </cell>
          <cell r="I421">
            <v>0</v>
          </cell>
          <cell r="J421">
            <v>104.02791257083335</v>
          </cell>
          <cell r="K421">
            <v>104.02791257083335</v>
          </cell>
          <cell r="L421">
            <v>104.02791257083335</v>
          </cell>
          <cell r="W421" t="str">
            <v>E9778</v>
          </cell>
          <cell r="X421" t="str">
            <v>Grupo gerador - 310/340 kVA</v>
          </cell>
          <cell r="Y421" t="str">
            <v>h</v>
          </cell>
          <cell r="Z421">
            <v>147.20740000000001</v>
          </cell>
          <cell r="AA421">
            <v>8.5587999999999997</v>
          </cell>
          <cell r="BC421" t="str">
            <v>M0003</v>
          </cell>
          <cell r="BD421" t="str">
            <v>Aço CA 25</v>
          </cell>
          <cell r="BE421" t="str">
            <v>kg</v>
          </cell>
          <cell r="BF421">
            <v>3.9548999999999999</v>
          </cell>
          <cell r="BG421">
            <v>0</v>
          </cell>
        </row>
        <row r="422">
          <cell r="B422">
            <v>4011463</v>
          </cell>
          <cell r="C422" t="str">
            <v>SICRO</v>
          </cell>
          <cell r="D422" t="str">
            <v>Concreto asfáltico - faixa C - areia e brita comerciais</v>
          </cell>
          <cell r="E422" t="str">
            <v>t</v>
          </cell>
          <cell r="F422">
            <v>127.13719260452868</v>
          </cell>
          <cell r="G422">
            <v>127.13719260452868</v>
          </cell>
          <cell r="H422">
            <v>127.13719260452868</v>
          </cell>
          <cell r="I422">
            <v>0</v>
          </cell>
          <cell r="J422">
            <v>131.4938138003287</v>
          </cell>
          <cell r="K422">
            <v>131.4938138003287</v>
          </cell>
          <cell r="L422">
            <v>131.4938138003287</v>
          </cell>
          <cell r="W422" t="str">
            <v>M2111</v>
          </cell>
          <cell r="X422" t="str">
            <v>Mandíbula fixa C96 Std</v>
          </cell>
          <cell r="Y422" t="str">
            <v>un</v>
          </cell>
          <cell r="Z422">
            <v>13193.652700000001</v>
          </cell>
          <cell r="AA422">
            <v>0</v>
          </cell>
          <cell r="BC422" t="str">
            <v>M2152</v>
          </cell>
          <cell r="BD422" t="str">
            <v>Aditivo de cura para concreto</v>
          </cell>
          <cell r="BE422" t="str">
            <v>kg</v>
          </cell>
          <cell r="BF422">
            <v>7.2206000000000001</v>
          </cell>
          <cell r="BG422">
            <v>0</v>
          </cell>
        </row>
        <row r="423">
          <cell r="B423">
            <v>5213735</v>
          </cell>
          <cell r="C423" t="str">
            <v>SICRO</v>
          </cell>
          <cell r="D423" t="str">
            <v>Pórtico metálico com vão de 9,2 m, vento de 40 m/s, área de exposição de até 13,8 m², tensão admissível solo &gt; 200 kN/m² - areia extraída e brita produzida</v>
          </cell>
          <cell r="E423" t="str">
            <v>und</v>
          </cell>
          <cell r="F423">
            <v>38043.126174999998</v>
          </cell>
          <cell r="G423">
            <v>38043.126174999998</v>
          </cell>
          <cell r="H423">
            <v>38043.126174999998</v>
          </cell>
          <cell r="I423">
            <v>0</v>
          </cell>
          <cell r="J423">
            <v>37895.700200000007</v>
          </cell>
          <cell r="K423">
            <v>37895.700200000007</v>
          </cell>
          <cell r="L423">
            <v>37895.700200000007</v>
          </cell>
          <cell r="W423" t="str">
            <v>M2110</v>
          </cell>
          <cell r="X423" t="str">
            <v>Mandíbula móvel C96 Std</v>
          </cell>
          <cell r="Y423" t="str">
            <v>un</v>
          </cell>
          <cell r="Z423">
            <v>10447.3493</v>
          </cell>
          <cell r="AA423">
            <v>0</v>
          </cell>
          <cell r="BC423" t="str">
            <v>M1377</v>
          </cell>
          <cell r="BD423" t="str">
            <v>Treliça nervurada com 3 barras longitudinais e 2 diagonais sinusoidais</v>
          </cell>
          <cell r="BE423" t="str">
            <v>kg</v>
          </cell>
          <cell r="BF423">
            <v>3.1358000000000001</v>
          </cell>
          <cell r="BG423">
            <v>0</v>
          </cell>
        </row>
        <row r="424">
          <cell r="B424">
            <v>1106058</v>
          </cell>
          <cell r="C424" t="str">
            <v>SICRO</v>
          </cell>
          <cell r="D424" t="str">
            <v>Concreto magro - confecção em betoneira e lançamento manual - areia extraída e brita produzida</v>
          </cell>
          <cell r="E424" t="str">
            <v>m³</v>
          </cell>
          <cell r="F424">
            <v>245.86507899403313</v>
          </cell>
          <cell r="G424">
            <v>245.86507899403313</v>
          </cell>
          <cell r="H424">
            <v>245.86507899403313</v>
          </cell>
          <cell r="I424">
            <v>0</v>
          </cell>
          <cell r="J424">
            <v>249.56240075506446</v>
          </cell>
          <cell r="K424">
            <v>249.56240075506446</v>
          </cell>
          <cell r="L424">
            <v>249.56240075506446</v>
          </cell>
          <cell r="W424">
            <v>4816010</v>
          </cell>
          <cell r="X424" t="str">
            <v xml:space="preserve">Rocha para britagem com perfuratriz sobre esteira </v>
          </cell>
          <cell r="Y424" t="str">
            <v>m³</v>
          </cell>
          <cell r="Z424">
            <v>24.9</v>
          </cell>
          <cell r="AA424">
            <v>0</v>
          </cell>
          <cell r="BC424">
            <v>4011537</v>
          </cell>
          <cell r="BD424" t="str">
            <v xml:space="preserve">Serragem de juntas em pavimento de concreto, limpeza e enchimento com selante a frio </v>
          </cell>
          <cell r="BE424" t="str">
            <v>m</v>
          </cell>
          <cell r="BF424">
            <v>10.66</v>
          </cell>
          <cell r="BG424">
            <v>0</v>
          </cell>
        </row>
        <row r="425">
          <cell r="B425">
            <v>1107891</v>
          </cell>
          <cell r="C425" t="str">
            <v>SICRO</v>
          </cell>
          <cell r="D425" t="str">
            <v>Concreto fck = 20 MPa - confecção em betoneira e lançamento manual - areia extraída e brita produzida</v>
          </cell>
          <cell r="E425" t="str">
            <v>m³</v>
          </cell>
          <cell r="F425">
            <v>284.99669120280356</v>
          </cell>
          <cell r="G425">
            <v>284.99669120280356</v>
          </cell>
          <cell r="H425">
            <v>284.99669120280356</v>
          </cell>
          <cell r="I425">
            <v>0</v>
          </cell>
          <cell r="J425">
            <v>289.21475585716871</v>
          </cell>
          <cell r="K425">
            <v>289.21475585716871</v>
          </cell>
          <cell r="L425">
            <v>289.21475585716871</v>
          </cell>
          <cell r="W425" t="str">
            <v>M1673</v>
          </cell>
          <cell r="X425" t="str">
            <v>Tubo de PVC roscável de 4"</v>
          </cell>
          <cell r="Y425" t="str">
            <v>m</v>
          </cell>
          <cell r="Z425">
            <v>71.811599999999999</v>
          </cell>
          <cell r="AA425">
            <v>0</v>
          </cell>
          <cell r="BC425">
            <v>6416090</v>
          </cell>
          <cell r="BD425" t="str">
            <v xml:space="preserve">Usinagem para pavimento de concreto com formas deslizantes - areia e brita comerciais </v>
          </cell>
          <cell r="BE425" t="str">
            <v>m³</v>
          </cell>
          <cell r="BF425">
            <v>214.87</v>
          </cell>
          <cell r="BG425">
            <v>0</v>
          </cell>
        </row>
        <row r="426">
          <cell r="B426">
            <v>2003849</v>
          </cell>
          <cell r="C426" t="str">
            <v>SICRO</v>
          </cell>
          <cell r="D426" t="str">
            <v>Lastro de brita produzida</v>
          </cell>
          <cell r="E426" t="str">
            <v>m³</v>
          </cell>
          <cell r="F426">
            <v>81.066631209497203</v>
          </cell>
          <cell r="G426">
            <v>81.066631209497203</v>
          </cell>
          <cell r="H426">
            <v>81.066631209497203</v>
          </cell>
          <cell r="I426">
            <v>0</v>
          </cell>
          <cell r="J426">
            <v>80.487760117504649</v>
          </cell>
          <cell r="K426">
            <v>80.487760117504649</v>
          </cell>
          <cell r="L426">
            <v>80.487760117504649</v>
          </cell>
          <cell r="W426" t="str">
            <v>M0224</v>
          </cell>
          <cell r="X426" t="str">
            <v>Guia-chapéu pré-moldado - C = 140 cm</v>
          </cell>
          <cell r="Y426" t="str">
            <v>un</v>
          </cell>
          <cell r="Z426">
            <v>38.5</v>
          </cell>
          <cell r="AA426">
            <v>0</v>
          </cell>
          <cell r="BC426" t="str">
            <v>M0999</v>
          </cell>
          <cell r="BD426" t="str">
            <v>Tela de aço eletrosoldada</v>
          </cell>
          <cell r="BE426" t="str">
            <v>kg</v>
          </cell>
          <cell r="BF426">
            <v>4.0449999999999999</v>
          </cell>
          <cell r="BG426">
            <v>0</v>
          </cell>
        </row>
        <row r="427">
          <cell r="B427">
            <v>2003372</v>
          </cell>
          <cell r="C427" t="str">
            <v>SICRO</v>
          </cell>
          <cell r="D427" t="str">
            <v>Meio fio de concreto - MFC 03 - areia extraída e brita produzida - forma de madeira</v>
          </cell>
          <cell r="E427" t="str">
            <v>m</v>
          </cell>
          <cell r="F427">
            <v>20.054324000000001</v>
          </cell>
          <cell r="G427">
            <v>20.054324000000001</v>
          </cell>
          <cell r="H427">
            <v>20.054324000000001</v>
          </cell>
          <cell r="I427">
            <v>0</v>
          </cell>
          <cell r="J427">
            <v>20.887280000000004</v>
          </cell>
          <cell r="K427">
            <v>20.887280000000004</v>
          </cell>
          <cell r="L427">
            <v>20.887280000000004</v>
          </cell>
          <cell r="W427">
            <v>5213423</v>
          </cell>
          <cell r="X427" t="str">
            <v xml:space="preserve">Confecção de placa modulada em aço nº 18, galvanizado, com película retrorrefletiva tipo I + III  </v>
          </cell>
          <cell r="Y427" t="str">
            <v>m²</v>
          </cell>
          <cell r="Z427">
            <v>377.37</v>
          </cell>
          <cell r="AA427">
            <v>0</v>
          </cell>
          <cell r="BC427">
            <v>3713824</v>
          </cell>
          <cell r="BD427" t="str">
            <v xml:space="preserve">Confecção de barreira dupla de concreto, armada, pré-moldada (perfil New Jersey) - L = 3,82 m e H = 810 mm </v>
          </cell>
          <cell r="BE427" t="str">
            <v>m</v>
          </cell>
          <cell r="BF427">
            <v>455.18</v>
          </cell>
          <cell r="BG427">
            <v>0</v>
          </cell>
        </row>
        <row r="428">
          <cell r="B428">
            <v>4816117</v>
          </cell>
          <cell r="C428" t="str">
            <v>SICRO</v>
          </cell>
          <cell r="D428" t="str">
            <v>Recomposição de guarda-corpo de concreto - areia extraída e brita produzida</v>
          </cell>
          <cell r="E428" t="str">
            <v>m</v>
          </cell>
          <cell r="F428">
            <v>67.610283503092376</v>
          </cell>
          <cell r="G428">
            <v>67.610283503092376</v>
          </cell>
          <cell r="H428">
            <v>67.610283503092376</v>
          </cell>
          <cell r="I428">
            <v>0</v>
          </cell>
          <cell r="J428">
            <v>69.677642641646599</v>
          </cell>
          <cell r="K428">
            <v>69.677642641646599</v>
          </cell>
          <cell r="L428">
            <v>69.677642641646599</v>
          </cell>
          <cell r="W428">
            <v>5213424</v>
          </cell>
          <cell r="X428" t="str">
            <v xml:space="preserve">Confecção de placa modulada em aço nº 18, galvanizado, com película retrorrefletiva tipo III + III  </v>
          </cell>
          <cell r="Y428" t="str">
            <v>m²</v>
          </cell>
          <cell r="Z428">
            <v>409.47</v>
          </cell>
          <cell r="AA428">
            <v>0</v>
          </cell>
          <cell r="BC428">
            <v>6416248</v>
          </cell>
          <cell r="BD428" t="str">
            <v xml:space="preserve">Usinagem de concreto asfáltico com asfalto polímero - faixa C - areia e brita comerciais </v>
          </cell>
          <cell r="BE428" t="str">
            <v>t</v>
          </cell>
          <cell r="BF428">
            <v>114.45</v>
          </cell>
          <cell r="BG428">
            <v>0</v>
          </cell>
        </row>
        <row r="429">
          <cell r="B429">
            <v>1106289</v>
          </cell>
          <cell r="C429" t="str">
            <v>SICRO</v>
          </cell>
          <cell r="D429" t="str">
            <v>Concreto para bombeamento fck = 30 MPa - confecção em central dosadora de 30 m³/h - areia extraída e brita produzida</v>
          </cell>
          <cell r="E429" t="str">
            <v>m³</v>
          </cell>
          <cell r="F429">
            <v>245.36745872092925</v>
          </cell>
          <cell r="G429">
            <v>245.36745872092925</v>
          </cell>
          <cell r="H429">
            <v>245.36745872092925</v>
          </cell>
          <cell r="I429">
            <v>0</v>
          </cell>
          <cell r="J429">
            <v>246.58201278489986</v>
          </cell>
          <cell r="K429">
            <v>246.58201278489986</v>
          </cell>
          <cell r="L429">
            <v>246.58201278489986</v>
          </cell>
          <cell r="W429" t="str">
            <v>E9073</v>
          </cell>
          <cell r="X429" t="str">
            <v>Bomba de concreto rebocável com capacidade de 30 m³/h - 74 kW</v>
          </cell>
          <cell r="Y429" t="str">
            <v>h</v>
          </cell>
          <cell r="Z429">
            <v>111.0825</v>
          </cell>
          <cell r="AA429">
            <v>52.623399999999997</v>
          </cell>
          <cell r="BC429">
            <v>5213418</v>
          </cell>
          <cell r="BD429" t="str">
            <v xml:space="preserve">Confecção de placa em aço nº 16 galvanizado, com película retrorrefletiva tipo III + III  </v>
          </cell>
          <cell r="BE429" t="str">
            <v>m²</v>
          </cell>
          <cell r="BF429">
            <v>332.15</v>
          </cell>
          <cell r="BG429">
            <v>0</v>
          </cell>
        </row>
        <row r="430">
          <cell r="B430">
            <v>2003974</v>
          </cell>
          <cell r="C430" t="str">
            <v>SICRO</v>
          </cell>
          <cell r="D430" t="str">
            <v>Sarjeta trapezoidal de concreto - SZC 02 moldada no local com extrusora e concreto usinado - areia extraída e brita produzida</v>
          </cell>
          <cell r="E430" t="str">
            <v>m</v>
          </cell>
          <cell r="F430">
            <v>32.533843270155586</v>
          </cell>
          <cell r="G430">
            <v>32.533843270155586</v>
          </cell>
          <cell r="H430">
            <v>32.533843270155586</v>
          </cell>
          <cell r="I430">
            <v>0</v>
          </cell>
          <cell r="J430">
            <v>33.541444314002831</v>
          </cell>
          <cell r="K430">
            <v>33.541444314002831</v>
          </cell>
          <cell r="L430">
            <v>33.541444314002831</v>
          </cell>
          <cell r="W430" t="str">
            <v>M1378</v>
          </cell>
          <cell r="X430" t="str">
            <v>Chapa de aço ASTM A36</v>
          </cell>
          <cell r="Y430" t="str">
            <v>kg</v>
          </cell>
          <cell r="Z430">
            <v>5.7215999999999996</v>
          </cell>
          <cell r="AA430">
            <v>0</v>
          </cell>
          <cell r="BC430" t="str">
            <v>M2168</v>
          </cell>
          <cell r="BD430" t="str">
            <v>Tubo de concreto armado PA 2 - D = 0,60 m</v>
          </cell>
          <cell r="BE430" t="str">
            <v>m</v>
          </cell>
          <cell r="BF430">
            <v>125.1725</v>
          </cell>
          <cell r="BG430">
            <v>0</v>
          </cell>
        </row>
        <row r="431">
          <cell r="B431">
            <v>804022</v>
          </cell>
          <cell r="C431" t="str">
            <v>SICRO</v>
          </cell>
          <cell r="D431" t="str">
            <v>Corpo de BSTC D = 0,60 m PA2 - areia extraída e brita e pedra de mão produzidas</v>
          </cell>
          <cell r="E431" t="str">
            <v>m</v>
          </cell>
          <cell r="F431">
            <v>255.55087981044178</v>
          </cell>
          <cell r="G431">
            <v>255.55087981044178</v>
          </cell>
          <cell r="H431">
            <v>255.55087981044178</v>
          </cell>
          <cell r="I431">
            <v>0</v>
          </cell>
          <cell r="J431">
            <v>293.39610830722893</v>
          </cell>
          <cell r="K431">
            <v>293.39610830722893</v>
          </cell>
          <cell r="L431">
            <v>293.39610830722893</v>
          </cell>
          <cell r="W431">
            <v>2408058</v>
          </cell>
          <cell r="X431" t="str">
            <v xml:space="preserve">Solda elétrica de perfis metálicos e chapas de aço com eletrodo E70XX </v>
          </cell>
          <cell r="Y431" t="str">
            <v>kg</v>
          </cell>
          <cell r="Z431">
            <v>70.16</v>
          </cell>
          <cell r="AA431">
            <v>0</v>
          </cell>
          <cell r="BC431">
            <v>4816012</v>
          </cell>
          <cell r="BD431" t="str">
            <v xml:space="preserve">Brita produzida em central de britagem de 80 m³/h </v>
          </cell>
          <cell r="BE431" t="str">
            <v>m³</v>
          </cell>
          <cell r="BF431">
            <v>33.54</v>
          </cell>
          <cell r="BG431">
            <v>0</v>
          </cell>
        </row>
        <row r="432">
          <cell r="B432">
            <v>804080</v>
          </cell>
          <cell r="C432" t="str">
            <v>SICRO</v>
          </cell>
          <cell r="D432" t="str">
            <v>Boca BSTC D = 0,60 m - esconsidade 0° - areia extraída e brita produzida - alas retas</v>
          </cell>
          <cell r="E432" t="str">
            <v>und</v>
          </cell>
          <cell r="F432">
            <v>546.20000000000005</v>
          </cell>
          <cell r="G432">
            <v>546.20000000000005</v>
          </cell>
          <cell r="H432">
            <v>546.20000000000005</v>
          </cell>
          <cell r="I432">
            <v>0</v>
          </cell>
          <cell r="J432">
            <v>568.50283999999999</v>
          </cell>
          <cell r="K432">
            <v>568.50283999999999</v>
          </cell>
          <cell r="L432">
            <v>568.50283999999999</v>
          </cell>
          <cell r="W432" t="str">
            <v>M1150</v>
          </cell>
          <cell r="X432" t="str">
            <v>Adesivo ADE 52 ou similar</v>
          </cell>
          <cell r="Y432" t="str">
            <v>kg</v>
          </cell>
          <cell r="Z432">
            <v>107.33329999999999</v>
          </cell>
          <cell r="AA432">
            <v>0</v>
          </cell>
          <cell r="BC432">
            <v>5915411</v>
          </cell>
          <cell r="BD432" t="str">
            <v>Transporte com caminhão basculante de 10 m³ - rodovia com revestimento primário</v>
          </cell>
          <cell r="BE432" t="str">
            <v>tkm</v>
          </cell>
          <cell r="BF432">
            <v>2.13</v>
          </cell>
          <cell r="BG432">
            <v>0</v>
          </cell>
        </row>
        <row r="433">
          <cell r="B433">
            <v>1107895</v>
          </cell>
          <cell r="C433" t="str">
            <v>SICRO</v>
          </cell>
          <cell r="D433" t="str">
            <v>Concreto fck = 25 MPa - confecção em betoneira e lançamento manual - areia extraída e brita produzida</v>
          </cell>
          <cell r="E433" t="str">
            <v>m³</v>
          </cell>
          <cell r="F433">
            <v>307.28107529949835</v>
          </cell>
          <cell r="G433">
            <v>307.28107529949835</v>
          </cell>
          <cell r="H433">
            <v>307.28107529949835</v>
          </cell>
          <cell r="I433">
            <v>0</v>
          </cell>
          <cell r="J433">
            <v>311.74272644584443</v>
          </cell>
          <cell r="K433">
            <v>311.74272644584443</v>
          </cell>
          <cell r="L433">
            <v>311.74272644584443</v>
          </cell>
          <cell r="W433" t="str">
            <v>M1142</v>
          </cell>
          <cell r="X433" t="str">
            <v>Junta em perfil extrudado de borracha vulcanizada de 35 x 60 mm</v>
          </cell>
          <cell r="Y433" t="str">
            <v>m</v>
          </cell>
          <cell r="Z433">
            <v>723</v>
          </cell>
          <cell r="AA433">
            <v>0</v>
          </cell>
          <cell r="BC433">
            <v>5914374</v>
          </cell>
          <cell r="BD433" t="str">
            <v>Transporte com caminhão basculante de 10 m³ - rodovia com revestimento primário</v>
          </cell>
          <cell r="BE433" t="str">
            <v>tkm</v>
          </cell>
          <cell r="BF433">
            <v>0.55000000000000004</v>
          </cell>
          <cell r="BG433">
            <v>0</v>
          </cell>
        </row>
        <row r="434">
          <cell r="B434">
            <v>2003576</v>
          </cell>
          <cell r="C434" t="str">
            <v>SICRO</v>
          </cell>
          <cell r="D434" t="str">
            <v>Lastro de areia extraída - espalhamento manual</v>
          </cell>
          <cell r="E434" t="str">
            <v>m³</v>
          </cell>
          <cell r="F434">
            <v>29.257969537600001</v>
          </cell>
          <cell r="G434">
            <v>29.257969537600001</v>
          </cell>
          <cell r="H434">
            <v>29.257969537600001</v>
          </cell>
          <cell r="I434">
            <v>0</v>
          </cell>
          <cell r="J434">
            <v>28.913830190346665</v>
          </cell>
          <cell r="K434">
            <v>28.913830190346665</v>
          </cell>
          <cell r="L434">
            <v>28.913830190346665</v>
          </cell>
          <cell r="W434" t="str">
            <v>M2320</v>
          </cell>
          <cell r="X434" t="str">
            <v>Revestimento para estaca raiz SCH 80 - D Externo = 273,0 mm - 95,97 kg/m</v>
          </cell>
          <cell r="Y434" t="str">
            <v>m</v>
          </cell>
          <cell r="Z434">
            <v>1310.1310000000001</v>
          </cell>
          <cell r="AA434">
            <v>0</v>
          </cell>
          <cell r="BC434">
            <v>6416039</v>
          </cell>
          <cell r="BD434" t="str">
            <v xml:space="preserve">Usinagem de brita graduada com brita produzida em usina de 300 t/h </v>
          </cell>
          <cell r="BE434" t="str">
            <v>m³</v>
          </cell>
          <cell r="BF434">
            <v>58.12</v>
          </cell>
          <cell r="BG434">
            <v>0</v>
          </cell>
        </row>
        <row r="435">
          <cell r="B435">
            <v>5405972</v>
          </cell>
          <cell r="C435" t="str">
            <v>SICRO</v>
          </cell>
          <cell r="D435" t="str">
            <v>Fabricação de escama de concreto armado para solo reforçado com fita metálica - 2 a 5 chumbadores - areia extraída e brita produzida</v>
          </cell>
          <cell r="E435" t="str">
            <v>m³</v>
          </cell>
          <cell r="F435">
            <v>882.21083648496756</v>
          </cell>
          <cell r="G435">
            <v>882.21083648496756</v>
          </cell>
          <cell r="H435">
            <v>882.21083648496756</v>
          </cell>
          <cell r="I435">
            <v>0</v>
          </cell>
          <cell r="J435">
            <v>901.34225012319939</v>
          </cell>
          <cell r="K435">
            <v>901.34225012319939</v>
          </cell>
          <cell r="L435">
            <v>901.34225012319939</v>
          </cell>
          <cell r="W435" t="str">
            <v>M3512</v>
          </cell>
          <cell r="X435" t="str">
            <v>Material demolido - concreto armado</v>
          </cell>
          <cell r="Y435" t="str">
            <v>m³</v>
          </cell>
          <cell r="Z435">
            <v>0</v>
          </cell>
          <cell r="AA435">
            <v>0</v>
          </cell>
          <cell r="BC435">
            <v>6416041</v>
          </cell>
          <cell r="BD435" t="str">
            <v xml:space="preserve">Usinagem de brita graduada tratada com cimento e brita produzida em usina de 300 t/h </v>
          </cell>
          <cell r="BE435" t="str">
            <v>m³</v>
          </cell>
          <cell r="BF435">
            <v>82.76</v>
          </cell>
          <cell r="BG435">
            <v>0</v>
          </cell>
        </row>
        <row r="436">
          <cell r="B436">
            <v>2003619</v>
          </cell>
          <cell r="C436" t="str">
            <v>SICRO</v>
          </cell>
          <cell r="D436" t="str">
            <v>Boca de lobo simples - BLS 02 - areia extraída e brita produzida</v>
          </cell>
          <cell r="E436" t="str">
            <v>und</v>
          </cell>
          <cell r="F436">
            <v>815.96129999999994</v>
          </cell>
          <cell r="G436">
            <v>815.96129999999994</v>
          </cell>
          <cell r="H436">
            <v>815.96129999999994</v>
          </cell>
          <cell r="I436">
            <v>0</v>
          </cell>
          <cell r="J436">
            <v>882.32938000000001</v>
          </cell>
          <cell r="K436">
            <v>882.32938000000001</v>
          </cell>
          <cell r="L436">
            <v>882.32938000000001</v>
          </cell>
          <cell r="W436">
            <v>5915433</v>
          </cell>
          <cell r="X436" t="str">
            <v>Carga, manobra e descarga de demolição de concreto asfáltico ou concreto cimento solto em caminhão basculante de 6 m³ - carga manual e descarga livre</v>
          </cell>
          <cell r="Y436" t="str">
            <v>t</v>
          </cell>
          <cell r="Z436">
            <v>63.63</v>
          </cell>
          <cell r="AA436">
            <v>0</v>
          </cell>
          <cell r="BC436">
            <v>5915407</v>
          </cell>
          <cell r="BD436" t="str">
            <v>Carga, manobra e descarga de areia, brita, pedra de mão ou solos em caminhão basculante de 10 m³ - carga com carregadeira e descarga livre</v>
          </cell>
          <cell r="BE436" t="str">
            <v>t</v>
          </cell>
          <cell r="BF436">
            <v>1.7</v>
          </cell>
          <cell r="BG436">
            <v>0</v>
          </cell>
        </row>
        <row r="437">
          <cell r="B437">
            <v>2003681</v>
          </cell>
          <cell r="C437" t="str">
            <v>SICRO</v>
          </cell>
          <cell r="D437" t="str">
            <v>Poço de visita - PVI 03 - areia extraída e brita produzida</v>
          </cell>
          <cell r="E437" t="str">
            <v>und</v>
          </cell>
          <cell r="F437">
            <v>1676.2865999999999</v>
          </cell>
          <cell r="G437">
            <v>1676.2865999999999</v>
          </cell>
          <cell r="H437">
            <v>1676.2865999999999</v>
          </cell>
          <cell r="I437">
            <v>0</v>
          </cell>
          <cell r="J437">
            <v>1747.6041</v>
          </cell>
          <cell r="K437">
            <v>1747.6041</v>
          </cell>
          <cell r="L437">
            <v>1747.6041</v>
          </cell>
          <cell r="W437">
            <v>2105605</v>
          </cell>
          <cell r="X437" t="str">
            <v>Escoramento para corpo de bueiros celulares - utilização de 3 vezes - confecção, instalação e retirada</v>
          </cell>
          <cell r="Y437" t="str">
            <v>m³</v>
          </cell>
          <cell r="Z437">
            <v>41.64</v>
          </cell>
          <cell r="AA437">
            <v>0</v>
          </cell>
          <cell r="BC437">
            <v>5914464</v>
          </cell>
          <cell r="BD437" t="str">
            <v>Transporte com caminhão carroceria de 15 t - rodovia com revestimento primário</v>
          </cell>
          <cell r="BE437" t="str">
            <v>tkm</v>
          </cell>
          <cell r="BF437">
            <v>0.55000000000000004</v>
          </cell>
          <cell r="BG437">
            <v>0</v>
          </cell>
        </row>
        <row r="438">
          <cell r="B438">
            <v>804100</v>
          </cell>
          <cell r="C438" t="str">
            <v>SICRO</v>
          </cell>
          <cell r="D438" t="str">
            <v>Boca BSTC D = 0,80 m - esconsidade 0° - areia extraída e brita produzida - alas retas</v>
          </cell>
          <cell r="E438" t="str">
            <v>und</v>
          </cell>
          <cell r="F438">
            <v>916.86304999999993</v>
          </cell>
          <cell r="G438">
            <v>916.86304999999993</v>
          </cell>
          <cell r="H438">
            <v>916.86304999999993</v>
          </cell>
          <cell r="I438">
            <v>0</v>
          </cell>
          <cell r="J438">
            <v>954.00027999999998</v>
          </cell>
          <cell r="K438">
            <v>954.00027999999998</v>
          </cell>
          <cell r="L438">
            <v>954.00027999999998</v>
          </cell>
          <cell r="W438">
            <v>3108005</v>
          </cell>
          <cell r="X438" t="str">
            <v>Formas de compensado resinado 14 mm - uso geral - utilização de 3 vezes - confecção, instalação e retirada</v>
          </cell>
          <cell r="Y438" t="str">
            <v>m²</v>
          </cell>
          <cell r="Z438">
            <v>65.290000000000006</v>
          </cell>
          <cell r="AA438">
            <v>0</v>
          </cell>
          <cell r="BC438" t="str">
            <v>E9678</v>
          </cell>
          <cell r="BD438" t="str">
            <v>Fresadora a frio - 410 kW</v>
          </cell>
          <cell r="BE438" t="str">
            <v>h</v>
          </cell>
          <cell r="BF438">
            <v>959.5154</v>
          </cell>
          <cell r="BG438">
            <v>378.88209999999998</v>
          </cell>
        </row>
        <row r="439">
          <cell r="B439">
            <v>1106384</v>
          </cell>
          <cell r="C439" t="str">
            <v>SICRO</v>
          </cell>
          <cell r="D439" t="str">
            <v>Concreto para bombeamento fck = 40 MPa - confecção em central dosadora de 30 m³/h - areia extraída e brita produzida</v>
          </cell>
          <cell r="E439" t="str">
            <v>m³</v>
          </cell>
          <cell r="F439">
            <v>287.04453369814519</v>
          </cell>
          <cell r="G439">
            <v>287.04453369814519</v>
          </cell>
          <cell r="H439">
            <v>287.04453369814519</v>
          </cell>
          <cell r="I439">
            <v>0</v>
          </cell>
          <cell r="J439">
            <v>288.79023462941586</v>
          </cell>
          <cell r="K439">
            <v>288.79023462941586</v>
          </cell>
          <cell r="L439">
            <v>288.79023462941586</v>
          </cell>
          <cell r="W439" t="str">
            <v>E9107</v>
          </cell>
          <cell r="X439" t="str">
            <v>Compactador manual com soquete vibratório - 3 HP</v>
          </cell>
          <cell r="Y439" t="str">
            <v>h</v>
          </cell>
          <cell r="Z439">
            <v>3.0991</v>
          </cell>
          <cell r="AA439">
            <v>0.60509999999999997</v>
          </cell>
          <cell r="BC439" t="str">
            <v>M1995</v>
          </cell>
          <cell r="BD439" t="str">
            <v>Apoio do porta bit para fresadora de 410 kW</v>
          </cell>
          <cell r="BE439" t="str">
            <v>un</v>
          </cell>
          <cell r="BF439">
            <v>993.08180000000004</v>
          </cell>
          <cell r="BG439">
            <v>0</v>
          </cell>
        </row>
        <row r="440">
          <cell r="B440">
            <v>705174</v>
          </cell>
          <cell r="C440" t="str">
            <v>SICRO</v>
          </cell>
          <cell r="D440" t="str">
            <v>Corpo BSCC 1,50 x 1,50 m - moldado no local - altura do aterro 5,00 a 7,50 m - areia extraída e brita produzida</v>
          </cell>
          <cell r="E440" t="str">
            <v>m</v>
          </cell>
          <cell r="F440">
            <v>1690.1347129999999</v>
          </cell>
          <cell r="G440">
            <v>1690.1347129999999</v>
          </cell>
          <cell r="H440">
            <v>1690.1347129999999</v>
          </cell>
          <cell r="I440">
            <v>0</v>
          </cell>
          <cell r="J440">
            <v>1750.2641212839999</v>
          </cell>
          <cell r="K440">
            <v>1750.2641212839999</v>
          </cell>
          <cell r="L440">
            <v>1750.2641212839999</v>
          </cell>
          <cell r="W440" t="str">
            <v>M2180</v>
          </cell>
          <cell r="X440" t="str">
            <v>Tubo de concreto armado PA 2 - D = 1,20 m</v>
          </cell>
          <cell r="Y440" t="str">
            <v>m</v>
          </cell>
          <cell r="Z440">
            <v>390</v>
          </cell>
          <cell r="AA440">
            <v>0</v>
          </cell>
          <cell r="BC440" t="str">
            <v>M1974</v>
          </cell>
          <cell r="BD440" t="str">
            <v>Bit para fresadora de 410 kW</v>
          </cell>
          <cell r="BE440" t="str">
            <v>un</v>
          </cell>
          <cell r="BF440">
            <v>25.954999999999998</v>
          </cell>
          <cell r="BG440">
            <v>0</v>
          </cell>
        </row>
        <row r="441">
          <cell r="B441">
            <v>705224</v>
          </cell>
          <cell r="C441" t="str">
            <v>SICRO</v>
          </cell>
          <cell r="D441" t="str">
            <v>Boca BSCC 1,50 x 1,50 m - esconsidade 0° - areia extraída e brita produzida</v>
          </cell>
          <cell r="E441" t="str">
            <v>und</v>
          </cell>
          <cell r="F441">
            <v>8171.6200000000008</v>
          </cell>
          <cell r="G441">
            <v>8171.6200000000008</v>
          </cell>
          <cell r="H441">
            <v>8171.6200000000008</v>
          </cell>
          <cell r="I441">
            <v>0</v>
          </cell>
          <cell r="J441">
            <v>8460.8697499999998</v>
          </cell>
          <cell r="K441">
            <v>8460.8697499999998</v>
          </cell>
          <cell r="L441">
            <v>8460.8697499999998</v>
          </cell>
          <cell r="W441" t="str">
            <v>M2535</v>
          </cell>
          <cell r="X441" t="str">
            <v>Chapa múltipla MP 100 galvanizada - E = 1,6 mm e D = 1,0 m</v>
          </cell>
          <cell r="Y441" t="str">
            <v>m</v>
          </cell>
          <cell r="Z441">
            <v>852.4597</v>
          </cell>
          <cell r="AA441">
            <v>0</v>
          </cell>
          <cell r="BC441" t="str">
            <v>M1975</v>
          </cell>
          <cell r="BD441" t="str">
            <v>Porta bits para fresadora de 410 kW</v>
          </cell>
          <cell r="BE441" t="str">
            <v>un</v>
          </cell>
          <cell r="BF441">
            <v>413.65789999999998</v>
          </cell>
          <cell r="BG441">
            <v>0</v>
          </cell>
        </row>
        <row r="442">
          <cell r="B442">
            <v>705188</v>
          </cell>
          <cell r="C442" t="str">
            <v>SICRO</v>
          </cell>
          <cell r="D442" t="str">
            <v>Corpo BSCC 2,00 x 2,00 m - moldado no local - altura do aterro 5,00 a 7,50 m - areia extraída e brita produzida</v>
          </cell>
          <cell r="E442" t="str">
            <v>m</v>
          </cell>
          <cell r="F442">
            <v>2504.1663957999999</v>
          </cell>
          <cell r="G442">
            <v>2504.1663957999999</v>
          </cell>
          <cell r="H442">
            <v>2504.1663957999999</v>
          </cell>
          <cell r="I442">
            <v>0</v>
          </cell>
          <cell r="J442">
            <v>2591.3544972699997</v>
          </cell>
          <cell r="K442">
            <v>2591.3544972699997</v>
          </cell>
          <cell r="L442">
            <v>2591.3544972699997</v>
          </cell>
          <cell r="W442">
            <v>2003850</v>
          </cell>
          <cell r="X442" t="str">
            <v xml:space="preserve">Lastro de brita comercial </v>
          </cell>
          <cell r="Y442" t="str">
            <v>m³</v>
          </cell>
          <cell r="Z442">
            <v>100.14</v>
          </cell>
          <cell r="AA442">
            <v>0</v>
          </cell>
          <cell r="BC442" t="str">
            <v>E9670</v>
          </cell>
          <cell r="BD442" t="str">
            <v>Usina móvel para micro revestimento com cavalo mecânico com capacidade de 12 m³ - 86 kW/ 240 kW</v>
          </cell>
          <cell r="BE442" t="str">
            <v>h</v>
          </cell>
          <cell r="BF442">
            <v>408.98349999999999</v>
          </cell>
          <cell r="BG442">
            <v>166.06030000000001</v>
          </cell>
        </row>
        <row r="443">
          <cell r="B443">
            <v>705232</v>
          </cell>
          <cell r="C443" t="str">
            <v>SICRO</v>
          </cell>
          <cell r="D443" t="str">
            <v>Boca BSCC 2,00 x 2,00 m - esconsidade 0° - areia extraída e brita produzida</v>
          </cell>
          <cell r="E443" t="str">
            <v>und</v>
          </cell>
          <cell r="F443">
            <v>12494.74505</v>
          </cell>
          <cell r="G443">
            <v>12494.74505</v>
          </cell>
          <cell r="H443">
            <v>12494.74505</v>
          </cell>
          <cell r="I443">
            <v>0</v>
          </cell>
          <cell r="J443">
            <v>12922.57545</v>
          </cell>
          <cell r="K443">
            <v>12922.57545</v>
          </cell>
          <cell r="L443">
            <v>12922.57545</v>
          </cell>
          <cell r="W443" t="str">
            <v>M2540</v>
          </cell>
          <cell r="X443" t="str">
            <v>Chapa múltipla MP 100 galvanizada - E = 1,6 mm e D = 1,5 m</v>
          </cell>
          <cell r="Y443" t="str">
            <v>m</v>
          </cell>
          <cell r="Z443">
            <v>1270.3295000000001</v>
          </cell>
          <cell r="AA443">
            <v>0</v>
          </cell>
          <cell r="BC443" t="str">
            <v>M1950</v>
          </cell>
          <cell r="BD443" t="str">
            <v>Emulsão com polímero para micro revestimento a frio</v>
          </cell>
          <cell r="BE443" t="str">
            <v>t</v>
          </cell>
          <cell r="BF443">
            <v>0</v>
          </cell>
          <cell r="BG443">
            <v>0</v>
          </cell>
        </row>
        <row r="444">
          <cell r="B444">
            <v>705276</v>
          </cell>
          <cell r="C444" t="str">
            <v>SICRO</v>
          </cell>
          <cell r="D444" t="str">
            <v>Corpo BDCC 2,00 x 2,00 m - moldado no local - altura do aterro 5,00 a 7,50 m - areia extraída e brita produzida</v>
          </cell>
          <cell r="E444" t="str">
            <v>m</v>
          </cell>
          <cell r="F444">
            <v>4151.9320527</v>
          </cell>
          <cell r="G444">
            <v>4151.9320527</v>
          </cell>
          <cell r="H444">
            <v>4151.9320527</v>
          </cell>
          <cell r="I444">
            <v>0</v>
          </cell>
          <cell r="J444">
            <v>4294.1231325599992</v>
          </cell>
          <cell r="K444">
            <v>4294.1231325599992</v>
          </cell>
          <cell r="L444">
            <v>4294.1231325599992</v>
          </cell>
          <cell r="W444" t="str">
            <v>M2541</v>
          </cell>
          <cell r="X444" t="str">
            <v>Chapa múltipla MP 100 galvanizada - E = 1,6 mm e D = 1,6 m</v>
          </cell>
          <cell r="Y444" t="str">
            <v>m</v>
          </cell>
          <cell r="Z444">
            <v>1353.8995</v>
          </cell>
          <cell r="AA444">
            <v>0</v>
          </cell>
          <cell r="BC444" t="str">
            <v>M0222</v>
          </cell>
          <cell r="BD444" t="str">
            <v>Filler calcário</v>
          </cell>
          <cell r="BE444" t="str">
            <v>kg</v>
          </cell>
          <cell r="BF444">
            <v>0.13750000000000001</v>
          </cell>
          <cell r="BG444">
            <v>0</v>
          </cell>
        </row>
        <row r="445">
          <cell r="B445">
            <v>705321</v>
          </cell>
          <cell r="C445" t="str">
            <v>SICRO</v>
          </cell>
          <cell r="D445" t="str">
            <v>Boca BDCC 2,00 x 2,00 m - esconsidade 0° - areia extraída e brita produzida</v>
          </cell>
          <cell r="E445" t="str">
            <v>und</v>
          </cell>
          <cell r="F445">
            <v>14384.4647</v>
          </cell>
          <cell r="G445">
            <v>14384.4647</v>
          </cell>
          <cell r="H445">
            <v>14384.4647</v>
          </cell>
          <cell r="I445">
            <v>0</v>
          </cell>
          <cell r="J445">
            <v>14867.423999999999</v>
          </cell>
          <cell r="K445">
            <v>14867.423999999999</v>
          </cell>
          <cell r="L445">
            <v>14867.423999999999</v>
          </cell>
          <cell r="W445" t="str">
            <v>M2543</v>
          </cell>
          <cell r="X445" t="str">
            <v>Chapa múltipla MP 100 galvanizada - E = 1,6 mm e D = 1,8 m</v>
          </cell>
          <cell r="Y445" t="str">
            <v>m</v>
          </cell>
          <cell r="Z445">
            <v>1504.3395</v>
          </cell>
          <cell r="AA445">
            <v>0</v>
          </cell>
          <cell r="BC445">
            <v>5914328</v>
          </cell>
          <cell r="BD445" t="str">
            <v>Carga, manobra e descarga de mistura betuminosa a quente em caminhão basculante de 6 m³ - carga de usina de asfalto 90/120</v>
          </cell>
          <cell r="BE445" t="str">
            <v>t</v>
          </cell>
          <cell r="BF445">
            <v>18.22</v>
          </cell>
          <cell r="BG445">
            <v>0</v>
          </cell>
        </row>
        <row r="446">
          <cell r="B446">
            <v>705202</v>
          </cell>
          <cell r="C446" t="str">
            <v>SICRO</v>
          </cell>
          <cell r="D446" t="str">
            <v>Corpo BSCC 2,50 x 2,50 m - moldado no local - altura do aterro 5,00 a 7,50 m - areia extraída e brita produzida</v>
          </cell>
          <cell r="E446" t="str">
            <v>m</v>
          </cell>
          <cell r="F446">
            <v>3510.6931854999993</v>
          </cell>
          <cell r="G446">
            <v>3510.6931854999993</v>
          </cell>
          <cell r="H446">
            <v>3510.6931854999993</v>
          </cell>
          <cell r="I446">
            <v>0</v>
          </cell>
          <cell r="J446">
            <v>3629.8616082779995</v>
          </cell>
          <cell r="K446">
            <v>3629.8616082779995</v>
          </cell>
          <cell r="L446">
            <v>3629.8616082779995</v>
          </cell>
          <cell r="W446" t="str">
            <v>M2545</v>
          </cell>
          <cell r="X446" t="str">
            <v>Chapa múltipla MP 100 galvanizada - E = 2,0 mm e D = 2,0 m</v>
          </cell>
          <cell r="Y446" t="str">
            <v>m</v>
          </cell>
          <cell r="Z446">
            <v>1869.5518</v>
          </cell>
          <cell r="AA446">
            <v>0</v>
          </cell>
          <cell r="BC446">
            <v>4915801</v>
          </cell>
          <cell r="BD446" t="str">
            <v>Mistura betuminosa</v>
          </cell>
          <cell r="BE446" t="str">
            <v>m³</v>
          </cell>
          <cell r="BF446">
            <v>0</v>
          </cell>
          <cell r="BG446">
            <v>0</v>
          </cell>
        </row>
        <row r="447">
          <cell r="B447">
            <v>705240</v>
          </cell>
          <cell r="C447" t="str">
            <v>SICRO</v>
          </cell>
          <cell r="D447" t="str">
            <v>Boca BSCC 2,50 x 2,50 m - esconsidade 0° - areia extraída e brita produzida</v>
          </cell>
          <cell r="E447" t="str">
            <v>und</v>
          </cell>
          <cell r="F447">
            <v>16751.605000000003</v>
          </cell>
          <cell r="G447">
            <v>16751.605000000003</v>
          </cell>
          <cell r="H447">
            <v>16751.605000000003</v>
          </cell>
          <cell r="I447">
            <v>0</v>
          </cell>
          <cell r="J447">
            <v>17318.062249999999</v>
          </cell>
          <cell r="K447">
            <v>17318.062249999999</v>
          </cell>
          <cell r="L447">
            <v>17318.062249999999</v>
          </cell>
          <cell r="W447" t="str">
            <v>M2550</v>
          </cell>
          <cell r="X447" t="str">
            <v>Chapa múltipla MP 100 galvanizada - E = 3,4 mm e D = 2,5 m</v>
          </cell>
          <cell r="Y447" t="str">
            <v>m</v>
          </cell>
          <cell r="Z447">
            <v>3579.7069999999999</v>
          </cell>
          <cell r="AA447">
            <v>0</v>
          </cell>
          <cell r="BC447" t="str">
            <v>E9522</v>
          </cell>
          <cell r="BD447" t="str">
            <v>Caldeira de asfalto rebocável com capacidade de 1.500 l - 6,5 kW</v>
          </cell>
          <cell r="BE447" t="str">
            <v>h</v>
          </cell>
          <cell r="BF447">
            <v>12.480399999999999</v>
          </cell>
          <cell r="BG447">
            <v>7.2689000000000004</v>
          </cell>
        </row>
        <row r="448">
          <cell r="B448">
            <v>705290</v>
          </cell>
          <cell r="C448" t="str">
            <v>SICRO</v>
          </cell>
          <cell r="D448" t="str">
            <v>Corpo BDCC 2,50 x 2,50 m - moldado no local - altura do aterro 5,00 a 7,50 m - areia extraída e brita produzida</v>
          </cell>
          <cell r="E448" t="str">
            <v>m</v>
          </cell>
          <cell r="F448">
            <v>5612.1146383000005</v>
          </cell>
          <cell r="G448">
            <v>5612.1146383000005</v>
          </cell>
          <cell r="H448">
            <v>5612.1146383000005</v>
          </cell>
          <cell r="I448">
            <v>0</v>
          </cell>
          <cell r="J448">
            <v>5801.561904532</v>
          </cell>
          <cell r="K448">
            <v>5801.561904532</v>
          </cell>
          <cell r="L448">
            <v>5801.561904532</v>
          </cell>
          <cell r="W448" t="str">
            <v>M2551</v>
          </cell>
          <cell r="X448" t="str">
            <v>Chapa múltipla MP 100 galvanizada - E = 3,4 mm e D = 2,6 m</v>
          </cell>
          <cell r="Y448" t="str">
            <v>m</v>
          </cell>
          <cell r="Z448">
            <v>3783.4362999999998</v>
          </cell>
          <cell r="AA448">
            <v>0</v>
          </cell>
          <cell r="BC448" t="str">
            <v>M0769</v>
          </cell>
          <cell r="BD448" t="str">
            <v>Lona plástica de 200 micras de espessura</v>
          </cell>
          <cell r="BE448" t="str">
            <v>m²</v>
          </cell>
          <cell r="BF448">
            <v>1.3249</v>
          </cell>
          <cell r="BG448">
            <v>0</v>
          </cell>
        </row>
        <row r="449">
          <cell r="B449">
            <v>705329</v>
          </cell>
          <cell r="C449" t="str">
            <v>SICRO</v>
          </cell>
          <cell r="D449" t="str">
            <v>Boca BDCC 2,50 x 2,50 m - esconsidade 0° - areia extraída e brita produzida</v>
          </cell>
          <cell r="E449" t="str">
            <v>und</v>
          </cell>
          <cell r="F449">
            <v>19865.428</v>
          </cell>
          <cell r="G449">
            <v>19865.428</v>
          </cell>
          <cell r="H449">
            <v>19865.428</v>
          </cell>
          <cell r="I449">
            <v>0</v>
          </cell>
          <cell r="J449">
            <v>20521.57775</v>
          </cell>
          <cell r="K449">
            <v>20521.57775</v>
          </cell>
          <cell r="L449">
            <v>20521.57775</v>
          </cell>
          <cell r="W449" t="str">
            <v>M2552</v>
          </cell>
          <cell r="X449" t="str">
            <v>Chapa múltipla MP 100 galvanizada - E = 3,4 mm e D = 2,7 m</v>
          </cell>
          <cell r="Y449" t="str">
            <v>m</v>
          </cell>
          <cell r="Z449">
            <v>3856.1939000000002</v>
          </cell>
          <cell r="AA449">
            <v>0</v>
          </cell>
          <cell r="BC449">
            <v>5216116</v>
          </cell>
          <cell r="BD449" t="str">
            <v>Fabricação de balizador de concreto - seção circular de 10 cm - areia e brita comerciais</v>
          </cell>
          <cell r="BE449" t="str">
            <v>un</v>
          </cell>
          <cell r="BF449">
            <v>10.02</v>
          </cell>
          <cell r="BG449">
            <v>0</v>
          </cell>
        </row>
        <row r="450">
          <cell r="B450">
            <v>705216</v>
          </cell>
          <cell r="C450" t="str">
            <v>SICRO</v>
          </cell>
          <cell r="D450" t="str">
            <v>Corpo BSCC 3,00 x 3,00 m - moldado no local - altura do aterro 5,00 a 7,50 m - areia extraída e brita produzida</v>
          </cell>
          <cell r="E450" t="str">
            <v>m</v>
          </cell>
          <cell r="F450">
            <v>4846.6051580000003</v>
          </cell>
          <cell r="G450">
            <v>4846.6051580000003</v>
          </cell>
          <cell r="H450">
            <v>4846.6051580000003</v>
          </cell>
          <cell r="I450">
            <v>0</v>
          </cell>
          <cell r="J450">
            <v>5006.4823138459997</v>
          </cell>
          <cell r="K450">
            <v>5006.4823138459997</v>
          </cell>
          <cell r="L450">
            <v>5006.4823138459997</v>
          </cell>
          <cell r="W450" t="str">
            <v>M2560</v>
          </cell>
          <cell r="X450" t="str">
            <v>Chapa múltipla MP 152 galvanizada - E = 2,7 mm e D = 3,05 m</v>
          </cell>
          <cell r="Y450" t="str">
            <v>m</v>
          </cell>
          <cell r="Z450">
            <v>5375.9093999999996</v>
          </cell>
          <cell r="AA450">
            <v>0</v>
          </cell>
          <cell r="BC450" t="str">
            <v>E9042</v>
          </cell>
          <cell r="BD450" t="str">
            <v>Trator de esteiras com lâmina - 74,5 kW</v>
          </cell>
          <cell r="BE450" t="str">
            <v>h</v>
          </cell>
          <cell r="BF450">
            <v>170.30619999999999</v>
          </cell>
          <cell r="BG450">
            <v>80.900000000000006</v>
          </cell>
        </row>
        <row r="451">
          <cell r="B451">
            <v>705248</v>
          </cell>
          <cell r="C451" t="str">
            <v>SICRO</v>
          </cell>
          <cell r="D451" t="str">
            <v>Boca BSCC 3,00 x 3,00 m - esconsidade 0° - areia extraída e brita produzida</v>
          </cell>
          <cell r="E451" t="str">
            <v>und</v>
          </cell>
          <cell r="F451">
            <v>23467.560999999998</v>
          </cell>
          <cell r="G451">
            <v>23467.560999999998</v>
          </cell>
          <cell r="H451">
            <v>23467.560999999998</v>
          </cell>
          <cell r="I451">
            <v>0</v>
          </cell>
          <cell r="J451">
            <v>24240.78355</v>
          </cell>
          <cell r="K451">
            <v>24240.78355</v>
          </cell>
          <cell r="L451">
            <v>24240.78355</v>
          </cell>
          <cell r="W451" t="str">
            <v>M2562</v>
          </cell>
          <cell r="X451" t="str">
            <v>Chapa múltipla MP 152 galvanizada - E = 2,7 mm e D = 3,40 m</v>
          </cell>
          <cell r="Y451" t="str">
            <v>m</v>
          </cell>
          <cell r="Z451">
            <v>6043.5061999999998</v>
          </cell>
          <cell r="AA451">
            <v>0</v>
          </cell>
          <cell r="BC451">
            <v>4016007</v>
          </cell>
          <cell r="BD451" t="str">
            <v>Escavação e carga de material de jazida com trator de 74,5 kW e carregadeira de 1,53 m³</v>
          </cell>
          <cell r="BE451" t="str">
            <v>m³</v>
          </cell>
          <cell r="BF451">
            <v>3</v>
          </cell>
          <cell r="BG451">
            <v>0</v>
          </cell>
        </row>
        <row r="452">
          <cell r="B452">
            <v>705304</v>
          </cell>
          <cell r="C452" t="str">
            <v>SICRO</v>
          </cell>
          <cell r="D452" t="str">
            <v>Corpo BDCC 3,00 x 3,00 m - moldado no local - altura do aterro 5,00 a 7,50 m - areia extraída e brita produzida</v>
          </cell>
          <cell r="E452" t="str">
            <v>m</v>
          </cell>
          <cell r="F452">
            <v>7480.5818920999991</v>
          </cell>
          <cell r="G452">
            <v>7480.5818920999991</v>
          </cell>
          <cell r="H452">
            <v>7480.5818920999991</v>
          </cell>
          <cell r="I452">
            <v>0</v>
          </cell>
          <cell r="J452">
            <v>7729.0205588959998</v>
          </cell>
          <cell r="K452">
            <v>7729.0205588959998</v>
          </cell>
          <cell r="L452">
            <v>7729.0205588959998</v>
          </cell>
          <cell r="W452" t="str">
            <v>M2565</v>
          </cell>
          <cell r="X452" t="str">
            <v>Chapa múltipla MP 152 galvanizada - E = 2,7 mm e D = 4,20 m</v>
          </cell>
          <cell r="Y452" t="str">
            <v>m</v>
          </cell>
          <cell r="Z452">
            <v>7396.2723999999998</v>
          </cell>
          <cell r="AA452">
            <v>0</v>
          </cell>
          <cell r="BC452">
            <v>5914641</v>
          </cell>
          <cell r="BD452" t="str">
            <v>Carga, manobra e descarga de agregados ou solos em caminhão basculante de 6 m³ carga com carregadeira (exclusa) e</v>
          </cell>
          <cell r="BE452" t="str">
            <v>t</v>
          </cell>
          <cell r="BF452">
            <v>1.27</v>
          </cell>
          <cell r="BG452">
            <v>0</v>
          </cell>
        </row>
        <row r="453">
          <cell r="B453">
            <v>705337</v>
          </cell>
          <cell r="C453" t="str">
            <v>SICRO</v>
          </cell>
          <cell r="D453" t="str">
            <v>Boca BDCC 3,00 x 3,00 m - esconsidade 0° - areia extraída e brita produzida</v>
          </cell>
          <cell r="E453" t="str">
            <v>und</v>
          </cell>
          <cell r="F453">
            <v>28291.187549999999</v>
          </cell>
          <cell r="G453">
            <v>28291.187549999999</v>
          </cell>
          <cell r="H453">
            <v>28291.187549999999</v>
          </cell>
          <cell r="I453">
            <v>0</v>
          </cell>
          <cell r="J453">
            <v>29198.294900000001</v>
          </cell>
          <cell r="K453">
            <v>29198.294900000001</v>
          </cell>
          <cell r="L453">
            <v>29198.294900000001</v>
          </cell>
          <cell r="W453" t="str">
            <v>M2566</v>
          </cell>
          <cell r="X453" t="str">
            <v>Chapa múltipla MP 152 galvanizada - E = 2,7 mm e D = 4,60 m</v>
          </cell>
          <cell r="Y453" t="str">
            <v>m</v>
          </cell>
          <cell r="Z453">
            <v>8063.8692000000001</v>
          </cell>
          <cell r="AA453">
            <v>0</v>
          </cell>
          <cell r="BC453" t="str">
            <v>E9517</v>
          </cell>
          <cell r="BD453" t="str">
            <v>Compressor de ar portátil de 912 PCM - 184 kW</v>
          </cell>
          <cell r="BE453" t="str">
            <v>h</v>
          </cell>
          <cell r="BF453">
            <v>149.8639</v>
          </cell>
          <cell r="BG453">
            <v>31.5213</v>
          </cell>
        </row>
        <row r="454">
          <cell r="B454">
            <v>804056</v>
          </cell>
          <cell r="C454" t="str">
            <v>SICRO</v>
          </cell>
          <cell r="D454" t="str">
            <v>Corpo de BSTC D = 1,50 m PA3 - areia extraída e brita e pedra de mão produzidas</v>
          </cell>
          <cell r="E454" t="str">
            <v>m</v>
          </cell>
          <cell r="F454">
            <v>1107.763222251697</v>
          </cell>
          <cell r="G454">
            <v>1107.763222251697</v>
          </cell>
          <cell r="H454">
            <v>1107.763222251697</v>
          </cell>
          <cell r="I454">
            <v>0</v>
          </cell>
          <cell r="J454">
            <v>1005.5913500665797</v>
          </cell>
          <cell r="K454">
            <v>1005.5913500665797</v>
          </cell>
          <cell r="L454">
            <v>1005.5913500665797</v>
          </cell>
          <cell r="W454" t="str">
            <v>M2564</v>
          </cell>
          <cell r="X454" t="str">
            <v>Chapa múltipla MP 152 galvanizada - E = 2,7 mm e D = 3,80 m</v>
          </cell>
          <cell r="Y454" t="str">
            <v>m</v>
          </cell>
          <cell r="Z454">
            <v>6711.1030000000001</v>
          </cell>
          <cell r="AA454">
            <v>0</v>
          </cell>
          <cell r="BC454" t="str">
            <v>P9892</v>
          </cell>
          <cell r="BD454" t="str">
            <v>Auxiliar de blaster</v>
          </cell>
          <cell r="BE454" t="str">
            <v>h</v>
          </cell>
          <cell r="BF454">
            <v>28.106300000000001</v>
          </cell>
          <cell r="BG454">
            <v>0</v>
          </cell>
        </row>
        <row r="455">
          <cell r="B455">
            <v>804408</v>
          </cell>
          <cell r="C455" t="str">
            <v>SICRO</v>
          </cell>
          <cell r="D455" t="str">
            <v>Boca BSTC D = 1,50 m - esconsidade 0° - areia extraída e brita produzida - alas esconsas</v>
          </cell>
          <cell r="E455" t="str">
            <v>und</v>
          </cell>
          <cell r="F455">
            <v>5113.0843000000004</v>
          </cell>
          <cell r="G455">
            <v>5113.0843000000004</v>
          </cell>
          <cell r="H455">
            <v>5113.0843000000004</v>
          </cell>
          <cell r="I455">
            <v>0</v>
          </cell>
          <cell r="J455">
            <v>5310.3611999999994</v>
          </cell>
          <cell r="K455">
            <v>5310.3611999999994</v>
          </cell>
          <cell r="L455">
            <v>5310.3611999999994</v>
          </cell>
          <cell r="W455">
            <v>6416056</v>
          </cell>
          <cell r="X455" t="str">
            <v xml:space="preserve">Usinagem de solo cimento com 7% de cimento com material de jazida em usina de 300 t/h </v>
          </cell>
          <cell r="Y455" t="str">
            <v>m³</v>
          </cell>
          <cell r="Z455">
            <v>52.43</v>
          </cell>
          <cell r="AA455">
            <v>0</v>
          </cell>
          <cell r="BC455" t="str">
            <v>M2138</v>
          </cell>
          <cell r="BD455" t="str">
            <v>Nonel de coluna com 12 m</v>
          </cell>
          <cell r="BE455" t="str">
            <v>un</v>
          </cell>
          <cell r="BF455">
            <v>15.2879</v>
          </cell>
          <cell r="BG455">
            <v>0</v>
          </cell>
        </row>
        <row r="456">
          <cell r="B456">
            <v>804198</v>
          </cell>
          <cell r="C456" t="str">
            <v>SICRO</v>
          </cell>
          <cell r="D456" t="str">
            <v>Corpo de BDTC D = 1,20 m PA2 - areia extraída e brita e pedra de mão produzidas</v>
          </cell>
          <cell r="E456" t="str">
            <v>m</v>
          </cell>
          <cell r="F456">
            <v>1326.3287214522088</v>
          </cell>
          <cell r="G456">
            <v>1326.3287214522088</v>
          </cell>
          <cell r="H456">
            <v>1326.3287214522088</v>
          </cell>
          <cell r="I456">
            <v>0</v>
          </cell>
          <cell r="J456">
            <v>1301.6511945361447</v>
          </cell>
          <cell r="K456">
            <v>1301.6511945361447</v>
          </cell>
          <cell r="L456">
            <v>1301.6511945361447</v>
          </cell>
          <cell r="W456">
            <v>5919540</v>
          </cell>
          <cell r="X456" t="str">
            <v>Carga, manobra e descarga de concreto de cimento em caminhão basculante de 7 m³ - carga em central de concreto de 150 m³/h e descarga em vibro-acabadora</v>
          </cell>
          <cell r="Y456" t="str">
            <v>t</v>
          </cell>
          <cell r="Z456">
            <v>1.95</v>
          </cell>
          <cell r="AA456">
            <v>0</v>
          </cell>
          <cell r="BC456">
            <v>1109670</v>
          </cell>
          <cell r="BD456" t="str">
            <v>Argamassa de cimento e areia 1:4 - areia extraída</v>
          </cell>
          <cell r="BE456" t="str">
            <v>m³</v>
          </cell>
          <cell r="BF456">
            <v>225.28</v>
          </cell>
          <cell r="BG456">
            <v>0</v>
          </cell>
        </row>
        <row r="457">
          <cell r="B457">
            <v>804424</v>
          </cell>
          <cell r="C457" t="str">
            <v>SICRO</v>
          </cell>
          <cell r="D457" t="str">
            <v>Boca BDTC D = 1,20 m - esconsidade 0° - areia extraída e brita produzida - alas esconsas</v>
          </cell>
          <cell r="E457" t="str">
            <v>und</v>
          </cell>
          <cell r="F457">
            <v>4040.5539500000004</v>
          </cell>
          <cell r="G457">
            <v>4040.5539500000004</v>
          </cell>
          <cell r="H457">
            <v>4040.5539500000004</v>
          </cell>
          <cell r="I457">
            <v>0</v>
          </cell>
          <cell r="J457">
            <v>4200.0546799999993</v>
          </cell>
          <cell r="K457">
            <v>4200.0546799999993</v>
          </cell>
          <cell r="L457">
            <v>4200.0546799999993</v>
          </cell>
          <cell r="W457">
            <v>6416092</v>
          </cell>
          <cell r="X457" t="str">
            <v xml:space="preserve">Usinagem para sub-base de concreto compactado com rolo - brita comercial </v>
          </cell>
          <cell r="Y457" t="str">
            <v>m³</v>
          </cell>
          <cell r="Z457">
            <v>157.88</v>
          </cell>
          <cell r="AA457">
            <v>0</v>
          </cell>
          <cell r="BC457">
            <v>1106164</v>
          </cell>
          <cell r="BD457" t="str">
            <v>Concreto ciclópico fck = 20 MPa - confecção em betoneira e lançamento manual - areia extraída, brita e pedra de mão produzidas</v>
          </cell>
          <cell r="BE457" t="str">
            <v>m³</v>
          </cell>
          <cell r="BF457">
            <v>227.6</v>
          </cell>
          <cell r="BG457">
            <v>0</v>
          </cell>
        </row>
        <row r="458">
          <cell r="B458">
            <v>804294</v>
          </cell>
          <cell r="C458" t="str">
            <v>SICRO</v>
          </cell>
          <cell r="D458" t="str">
            <v>Corpo de BTTC D = 1,00 m PA2 - areia extraída e brita e pedra de mão produzidas</v>
          </cell>
          <cell r="E458" t="str">
            <v>m</v>
          </cell>
          <cell r="F458">
            <v>1592.230350486403</v>
          </cell>
          <cell r="G458">
            <v>1592.230350486403</v>
          </cell>
          <cell r="H458">
            <v>1592.230350486403</v>
          </cell>
          <cell r="I458">
            <v>0</v>
          </cell>
          <cell r="J458">
            <v>1712.9906534864995</v>
          </cell>
          <cell r="K458">
            <v>1712.9906534864995</v>
          </cell>
          <cell r="L458">
            <v>1712.9906534864995</v>
          </cell>
          <cell r="W458" t="str">
            <v>E9589</v>
          </cell>
          <cell r="X458" t="str">
            <v>Texturizadora/cura - 44,8 kW</v>
          </cell>
          <cell r="Y458" t="str">
            <v>h</v>
          </cell>
          <cell r="Z458">
            <v>139.18790000000001</v>
          </cell>
          <cell r="AA458">
            <v>79.640799999999999</v>
          </cell>
          <cell r="BC458">
            <v>1109668</v>
          </cell>
          <cell r="BD458" t="str">
            <v>Argamassa de cimento e areia 1:3 - areia extraída</v>
          </cell>
          <cell r="BE458" t="str">
            <v>m³</v>
          </cell>
          <cell r="BF458">
            <v>258.93</v>
          </cell>
          <cell r="BG458">
            <v>0</v>
          </cell>
        </row>
        <row r="459">
          <cell r="B459">
            <v>804440</v>
          </cell>
          <cell r="C459" t="str">
            <v>SICRO</v>
          </cell>
          <cell r="D459" t="str">
            <v>Boca BTTC D = 1,00 m - esconsidade 0° - areia extraída e brita produzida - alas esconsas</v>
          </cell>
          <cell r="E459" t="str">
            <v>und</v>
          </cell>
          <cell r="F459">
            <v>3643.24035</v>
          </cell>
          <cell r="G459">
            <v>3643.24035</v>
          </cell>
          <cell r="H459">
            <v>3643.24035</v>
          </cell>
          <cell r="I459">
            <v>0</v>
          </cell>
          <cell r="J459">
            <v>3789.6403999999998</v>
          </cell>
          <cell r="K459">
            <v>3789.6403999999998</v>
          </cell>
          <cell r="L459">
            <v>3789.6403999999998</v>
          </cell>
          <cell r="W459" t="str">
            <v>E9588</v>
          </cell>
          <cell r="X459" t="str">
            <v>Vibroacabadora de concreto com formas deslizantes - 205 kW</v>
          </cell>
          <cell r="Y459" t="str">
            <v>h</v>
          </cell>
          <cell r="Z459">
            <v>527.24929999999995</v>
          </cell>
          <cell r="AA459">
            <v>234.66970000000001</v>
          </cell>
          <cell r="BC459">
            <v>1106058</v>
          </cell>
          <cell r="BD459" t="str">
            <v>Concreto magro - confecção em betoneira e lançamento manual - areia extraída e brita produzida</v>
          </cell>
          <cell r="BE459" t="str">
            <v>m³</v>
          </cell>
          <cell r="BF459">
            <v>200.26</v>
          </cell>
          <cell r="BG459">
            <v>0</v>
          </cell>
        </row>
        <row r="460">
          <cell r="B460">
            <v>804190</v>
          </cell>
          <cell r="C460" t="str">
            <v>SICRO</v>
          </cell>
          <cell r="D460" t="str">
            <v>Corpo de BDTC D = 1,00 m PA2 - areia extraída e brita e pedra de mão produzidas</v>
          </cell>
          <cell r="E460" t="str">
            <v>m</v>
          </cell>
          <cell r="F460">
            <v>1076.4552902087403</v>
          </cell>
          <cell r="G460">
            <v>1076.4552902087403</v>
          </cell>
          <cell r="H460">
            <v>1076.4552902087403</v>
          </cell>
          <cell r="I460">
            <v>0</v>
          </cell>
          <cell r="J460">
            <v>1157.7525551902313</v>
          </cell>
          <cell r="K460">
            <v>1157.7525551902313</v>
          </cell>
          <cell r="L460">
            <v>1157.7525551902313</v>
          </cell>
          <cell r="W460" t="str">
            <v>M0003</v>
          </cell>
          <cell r="X460" t="str">
            <v>Aço CA 25</v>
          </cell>
          <cell r="Y460" t="str">
            <v>kg</v>
          </cell>
          <cell r="Z460">
            <v>3.6076999999999999</v>
          </cell>
          <cell r="AA460">
            <v>0</v>
          </cell>
          <cell r="BC460">
            <v>6817796</v>
          </cell>
          <cell r="BD460" t="str">
            <v>Confecção de BSCC - seção 3,0 x 3,0 m fechada - tipo I - areia extraída e brita produzida</v>
          </cell>
          <cell r="BE460" t="str">
            <v>m</v>
          </cell>
          <cell r="BF460">
            <v>2086.1999999999998</v>
          </cell>
          <cell r="BG460">
            <v>0</v>
          </cell>
        </row>
        <row r="461">
          <cell r="B461">
            <v>804416</v>
          </cell>
          <cell r="C461" t="str">
            <v>SICRO</v>
          </cell>
          <cell r="D461" t="str">
            <v>Boca BDTC D = 1,00 m - esconsidade 0° - areia extraída e brita produzida - alas esconsas</v>
          </cell>
          <cell r="E461" t="str">
            <v>und</v>
          </cell>
          <cell r="F461">
            <v>2856.0459000000001</v>
          </cell>
          <cell r="G461">
            <v>2856.0459000000001</v>
          </cell>
          <cell r="H461">
            <v>2856.0459000000001</v>
          </cell>
          <cell r="I461">
            <v>0</v>
          </cell>
          <cell r="J461">
            <v>2971.3827199999996</v>
          </cell>
          <cell r="K461">
            <v>2971.3827199999996</v>
          </cell>
          <cell r="L461">
            <v>2971.3827199999996</v>
          </cell>
          <cell r="W461" t="str">
            <v>M2152</v>
          </cell>
          <cell r="X461" t="str">
            <v>Aditivo de cura para concreto</v>
          </cell>
          <cell r="Y461" t="str">
            <v>kg</v>
          </cell>
          <cell r="Z461">
            <v>8.2817000000000007</v>
          </cell>
          <cell r="AA461">
            <v>0</v>
          </cell>
          <cell r="BC461">
            <v>1107891</v>
          </cell>
          <cell r="BD461" t="str">
            <v>Concreto fck = 20 MPa - confecção em betoneira e lançamento manual - areia extraída e brita produzida</v>
          </cell>
          <cell r="BE461" t="str">
            <v>m³</v>
          </cell>
          <cell r="BF461">
            <v>240.55</v>
          </cell>
          <cell r="BG461">
            <v>0</v>
          </cell>
        </row>
        <row r="462">
          <cell r="B462">
            <v>605464</v>
          </cell>
          <cell r="C462" t="str">
            <v>SICRO</v>
          </cell>
          <cell r="D462" t="str">
            <v>Bueiro metálico com chapas múltiplas MP 100 galvanizadas - D = 1,00 m - brita produzida</v>
          </cell>
          <cell r="E462" t="str">
            <v>m</v>
          </cell>
          <cell r="F462">
            <v>921.03197113924045</v>
          </cell>
          <cell r="G462">
            <v>921.03197113924045</v>
          </cell>
          <cell r="H462">
            <v>921.03197113924045</v>
          </cell>
          <cell r="I462">
            <v>0</v>
          </cell>
          <cell r="J462">
            <v>919.87582962025317</v>
          </cell>
          <cell r="K462">
            <v>919.87582962025317</v>
          </cell>
          <cell r="L462">
            <v>919.87582962025317</v>
          </cell>
          <cell r="W462" t="str">
            <v>M1377</v>
          </cell>
          <cell r="X462" t="str">
            <v>Treliça nervurada com 3 barras longitudinais e 2 diagonais sinusoidais</v>
          </cell>
          <cell r="Y462" t="str">
            <v>kg</v>
          </cell>
          <cell r="Z462">
            <v>3.1358000000000001</v>
          </cell>
          <cell r="AA462">
            <v>0</v>
          </cell>
          <cell r="BC462">
            <v>1106138</v>
          </cell>
          <cell r="BD462" t="str">
            <v>Concreto fck = 30 MPa - confecção em central dosadora de 30 m³/h - areia extraída e brita produzida</v>
          </cell>
          <cell r="BE462" t="str">
            <v>m³</v>
          </cell>
          <cell r="BF462">
            <v>203.99</v>
          </cell>
          <cell r="BG462">
            <v>0</v>
          </cell>
        </row>
        <row r="463">
          <cell r="B463">
            <v>605469</v>
          </cell>
          <cell r="C463" t="str">
            <v>SICRO</v>
          </cell>
          <cell r="D463" t="str">
            <v>Bueiro metálico com chapas múltiplas MP 100 galvanizadas - D = 1,50 m - brita produzida</v>
          </cell>
          <cell r="E463" t="str">
            <v>m</v>
          </cell>
          <cell r="F463">
            <v>1379.232815483871</v>
          </cell>
          <cell r="G463">
            <v>1379.232815483871</v>
          </cell>
          <cell r="H463">
            <v>1379.232815483871</v>
          </cell>
          <cell r="I463">
            <v>0</v>
          </cell>
          <cell r="J463">
            <v>1377.5854494009216</v>
          </cell>
          <cell r="K463">
            <v>1377.5854494009216</v>
          </cell>
          <cell r="L463">
            <v>1377.5854494009216</v>
          </cell>
          <cell r="W463">
            <v>4011537</v>
          </cell>
          <cell r="X463" t="str">
            <v xml:space="preserve">Serragem de juntas em pavimento de concreto, limpeza e enchimento com selante a frio </v>
          </cell>
          <cell r="Y463" t="str">
            <v>m</v>
          </cell>
          <cell r="Z463">
            <v>10.61</v>
          </cell>
          <cell r="AA463">
            <v>0</v>
          </cell>
          <cell r="BC463">
            <v>1107895</v>
          </cell>
          <cell r="BD463" t="str">
            <v>Concreto fck = 25 MPa - confecção em betoneira e lançamento manual - areia extraída e brita produzida</v>
          </cell>
          <cell r="BE463" t="str">
            <v>m³</v>
          </cell>
          <cell r="BF463">
            <v>261.68</v>
          </cell>
          <cell r="BG463">
            <v>0</v>
          </cell>
        </row>
        <row r="464">
          <cell r="B464">
            <v>605470</v>
          </cell>
          <cell r="C464" t="str">
            <v>SICRO</v>
          </cell>
          <cell r="D464" t="str">
            <v>Bueiro metálico com chapas múltiplas MP 100 galvanizadas - D = 1,60 m - brita produzida</v>
          </cell>
          <cell r="E464" t="str">
            <v>m</v>
          </cell>
          <cell r="F464">
            <v>1473.327007225131</v>
          </cell>
          <cell r="G464">
            <v>1473.327007225131</v>
          </cell>
          <cell r="H464">
            <v>1473.327007225131</v>
          </cell>
          <cell r="I464">
            <v>0</v>
          </cell>
          <cell r="J464">
            <v>1471.7335228272252</v>
          </cell>
          <cell r="K464">
            <v>1471.7335228272252</v>
          </cell>
          <cell r="L464">
            <v>1471.7335228272252</v>
          </cell>
          <cell r="W464">
            <v>6416090</v>
          </cell>
          <cell r="X464" t="str">
            <v xml:space="preserve">Usinagem para pavimento de concreto com formas deslizantes - areia e brita comerciais </v>
          </cell>
          <cell r="Y464" t="str">
            <v>m³</v>
          </cell>
          <cell r="Z464">
            <v>229.1</v>
          </cell>
          <cell r="AA464">
            <v>0</v>
          </cell>
          <cell r="BC464">
            <v>4816016</v>
          </cell>
          <cell r="BD464" t="str">
            <v>Rachão ou pedra de mão produzida</v>
          </cell>
          <cell r="BE464" t="str">
            <v>m³</v>
          </cell>
          <cell r="BF464">
            <v>25.65</v>
          </cell>
          <cell r="BG464">
            <v>0</v>
          </cell>
        </row>
        <row r="465">
          <cell r="B465">
            <v>605472</v>
          </cell>
          <cell r="C465" t="str">
            <v>SICRO</v>
          </cell>
          <cell r="D465" t="str">
            <v>Bueiro metálico com chapas múltiplas MP 100 galvanizadas - D = 1,80 m - brita produzida</v>
          </cell>
          <cell r="E465" t="str">
            <v>m</v>
          </cell>
          <cell r="F465">
            <v>1762.2218624161076</v>
          </cell>
          <cell r="G465">
            <v>1762.2218624161076</v>
          </cell>
          <cell r="H465">
            <v>1762.2218624161076</v>
          </cell>
          <cell r="I465">
            <v>0</v>
          </cell>
          <cell r="J465">
            <v>1765.4957067114094</v>
          </cell>
          <cell r="K465">
            <v>1765.4957067114094</v>
          </cell>
          <cell r="L465">
            <v>1765.4957067114094</v>
          </cell>
          <cell r="W465" t="str">
            <v>M0999</v>
          </cell>
          <cell r="X465" t="str">
            <v>Tela de aço eletrosoldada</v>
          </cell>
          <cell r="Y465" t="str">
            <v>kg</v>
          </cell>
          <cell r="Z465">
            <v>4.2114000000000003</v>
          </cell>
          <cell r="AA465">
            <v>0</v>
          </cell>
          <cell r="BC465">
            <v>2009618</v>
          </cell>
          <cell r="BD465" t="str">
            <v>Alvenaria de blocos de concreto 20 x 20 x 40 cm com espessura de 20 cm - areia extraída</v>
          </cell>
          <cell r="BE465" t="str">
            <v>m²</v>
          </cell>
          <cell r="BF465">
            <v>79.650000000000006</v>
          </cell>
          <cell r="BG465">
            <v>0</v>
          </cell>
        </row>
        <row r="466">
          <cell r="B466">
            <v>605474</v>
          </cell>
          <cell r="C466" t="str">
            <v>SICRO</v>
          </cell>
          <cell r="D466" t="str">
            <v>Bueiro metálico com chapas múltiplas MP 100 galvanizadas - D = 2,00 m - brita produzida</v>
          </cell>
          <cell r="E466" t="str">
            <v>m</v>
          </cell>
          <cell r="F466">
            <v>2170.2320152447555</v>
          </cell>
          <cell r="G466">
            <v>2170.2320152447555</v>
          </cell>
          <cell r="H466">
            <v>2170.2320152447555</v>
          </cell>
          <cell r="I466">
            <v>0</v>
          </cell>
          <cell r="J466">
            <v>2172.9991591608396</v>
          </cell>
          <cell r="K466">
            <v>2172.9991591608396</v>
          </cell>
          <cell r="L466">
            <v>2172.9991591608396</v>
          </cell>
          <cell r="W466">
            <v>3713824</v>
          </cell>
          <cell r="X466" t="str">
            <v xml:space="preserve">Confecção de barreira dupla de concreto, armada, pré-moldada (perfil New Jersey) - L = 3,82 m e H = 810 mm </v>
          </cell>
          <cell r="Y466" t="str">
            <v>m</v>
          </cell>
          <cell r="Z466">
            <v>476.14</v>
          </cell>
          <cell r="AA466">
            <v>0</v>
          </cell>
          <cell r="BC466">
            <v>2003317</v>
          </cell>
          <cell r="BD466" t="str">
            <v>Grelha de concreto 53 x 110 cm para boca-de-lobo - areia extraída e brita produzida - sobrecarcarga do trem tipo TB 45</v>
          </cell>
          <cell r="BE466" t="str">
            <v>und</v>
          </cell>
          <cell r="BF466">
            <v>70.849999999999994</v>
          </cell>
          <cell r="BG466">
            <v>0</v>
          </cell>
        </row>
        <row r="467">
          <cell r="B467">
            <v>605479</v>
          </cell>
          <cell r="C467" t="str">
            <v>SICRO</v>
          </cell>
          <cell r="D467" t="str">
            <v>Bueiro metálico com chapas múltiplas MP 100 galvanizadas - D = 2,50 m - brita produzida</v>
          </cell>
          <cell r="E467" t="str">
            <v>m</v>
          </cell>
          <cell r="F467">
            <v>4245.0602589830505</v>
          </cell>
          <cell r="G467">
            <v>4245.0602589830505</v>
          </cell>
          <cell r="H467">
            <v>4245.0602589830505</v>
          </cell>
          <cell r="I467">
            <v>0</v>
          </cell>
          <cell r="J467">
            <v>4253.1498349152553</v>
          </cell>
          <cell r="K467">
            <v>4253.1498349152553</v>
          </cell>
          <cell r="L467">
            <v>4253.1498349152553</v>
          </cell>
          <cell r="W467">
            <v>6416248</v>
          </cell>
          <cell r="X467" t="str">
            <v xml:space="preserve">Usinagem de concreto asfáltico com asfalto polímero - faixa C - areia e brita comerciais </v>
          </cell>
          <cell r="Y467" t="str">
            <v>t</v>
          </cell>
          <cell r="Z467">
            <v>118.51</v>
          </cell>
          <cell r="AA467">
            <v>0</v>
          </cell>
          <cell r="BC467">
            <v>6416078</v>
          </cell>
          <cell r="BD467" t="str">
            <v>Usinagem de concreto asfáltico - faixa C - areia e brita comerciais</v>
          </cell>
          <cell r="BE467" t="str">
            <v>t</v>
          </cell>
          <cell r="BF467">
            <v>110.84</v>
          </cell>
          <cell r="BG467">
            <v>0</v>
          </cell>
        </row>
        <row r="468">
          <cell r="B468">
            <v>605480</v>
          </cell>
          <cell r="C468" t="str">
            <v>SICRO</v>
          </cell>
          <cell r="D468" t="str">
            <v>Bueiro metálico com chapas múltiplas MP 100 galvanizadas - D = 2,60 m - brita produzida</v>
          </cell>
          <cell r="E468" t="str">
            <v>m</v>
          </cell>
          <cell r="F468">
            <v>4571.9064212244893</v>
          </cell>
          <cell r="G468">
            <v>4571.9064212244893</v>
          </cell>
          <cell r="H468">
            <v>4571.9064212244893</v>
          </cell>
          <cell r="I468">
            <v>0</v>
          </cell>
          <cell r="J468">
            <v>4583.9170444897964</v>
          </cell>
          <cell r="K468">
            <v>4583.9170444897964</v>
          </cell>
          <cell r="L468">
            <v>4583.9170444897964</v>
          </cell>
          <cell r="W468">
            <v>5213418</v>
          </cell>
          <cell r="X468" t="str">
            <v xml:space="preserve">Confecção de placa em aço nº 16 galvanizado, com película retrorrefletiva tipo III + III  </v>
          </cell>
          <cell r="Y468" t="str">
            <v>m²</v>
          </cell>
          <cell r="Z468">
            <v>311.2</v>
          </cell>
          <cell r="AA468">
            <v>0</v>
          </cell>
          <cell r="BC468">
            <v>4816020</v>
          </cell>
          <cell r="BD468" t="str">
            <v>Areia extraída com draga de sucção tipo bomba</v>
          </cell>
          <cell r="BE468" t="str">
            <v>m³</v>
          </cell>
          <cell r="BF468">
            <v>14</v>
          </cell>
          <cell r="BG468">
            <v>0</v>
          </cell>
        </row>
        <row r="469">
          <cell r="B469">
            <v>605481</v>
          </cell>
          <cell r="C469" t="str">
            <v>SICRO</v>
          </cell>
          <cell r="D469" t="str">
            <v>Bueiro metálico com chapas múltiplas MP 100 galvanizadas - D = 2,70 m - brita produzida</v>
          </cell>
          <cell r="E469" t="str">
            <v>m</v>
          </cell>
          <cell r="F469">
            <v>4806.1008400000001</v>
          </cell>
          <cell r="G469">
            <v>4806.1008400000001</v>
          </cell>
          <cell r="H469">
            <v>4806.1008400000001</v>
          </cell>
          <cell r="I469">
            <v>0</v>
          </cell>
          <cell r="J469">
            <v>4824.0143800000005</v>
          </cell>
          <cell r="K469">
            <v>4824.0143800000005</v>
          </cell>
          <cell r="L469">
            <v>4824.0143800000005</v>
          </cell>
          <cell r="W469" t="str">
            <v>M2168</v>
          </cell>
          <cell r="X469" t="str">
            <v>Tubo de concreto armado PA 2 - D = 0,60 m</v>
          </cell>
          <cell r="Y469" t="str">
            <v>m</v>
          </cell>
          <cell r="Z469">
            <v>158.03299999999999</v>
          </cell>
          <cell r="AA469">
            <v>0</v>
          </cell>
          <cell r="BC469">
            <v>1107929</v>
          </cell>
          <cell r="BD469" t="str">
            <v>Concreto fck = 20 MPa - confecção em central dosadora de 30 m³/h - areia extraída e brita produzida</v>
          </cell>
          <cell r="BE469" t="str">
            <v>m³</v>
          </cell>
          <cell r="BF469">
            <v>173.43</v>
          </cell>
          <cell r="BG469">
            <v>0</v>
          </cell>
        </row>
        <row r="470">
          <cell r="B470">
            <v>605489</v>
          </cell>
          <cell r="C470" t="str">
            <v>SICRO</v>
          </cell>
          <cell r="D470" t="str">
            <v>Bueiro metálico com chapas múltiplas MP 152 galvanizadas - D = 3,05 m - brita produzida</v>
          </cell>
          <cell r="E470" t="str">
            <v>m</v>
          </cell>
          <cell r="F470">
            <v>5821.785329215686</v>
          </cell>
          <cell r="G470">
            <v>5821.785329215686</v>
          </cell>
          <cell r="H470">
            <v>5821.785329215686</v>
          </cell>
          <cell r="I470">
            <v>0</v>
          </cell>
          <cell r="J470">
            <v>5816.7342841176469</v>
          </cell>
          <cell r="K470">
            <v>5816.7342841176469</v>
          </cell>
          <cell r="L470">
            <v>5816.7342841176469</v>
          </cell>
          <cell r="W470">
            <v>4816012</v>
          </cell>
          <cell r="X470" t="str">
            <v xml:space="preserve">Brita produzida em central de britagem de 80 m³/h </v>
          </cell>
          <cell r="Y470" t="str">
            <v>m³</v>
          </cell>
          <cell r="Z470">
            <v>33.869999999999997</v>
          </cell>
          <cell r="AA470">
            <v>0</v>
          </cell>
          <cell r="BC470">
            <v>4816019</v>
          </cell>
          <cell r="BD470" t="str">
            <v>Areia extraída com escavadeira hidráulica de longo alcance</v>
          </cell>
          <cell r="BE470" t="str">
            <v>m³</v>
          </cell>
          <cell r="BF470">
            <v>5.66</v>
          </cell>
          <cell r="BG470">
            <v>0</v>
          </cell>
        </row>
        <row r="471">
          <cell r="B471">
            <v>605491</v>
          </cell>
          <cell r="C471" t="str">
            <v>SICRO</v>
          </cell>
          <cell r="D471" t="str">
            <v>Bueiro metálico com chapas múltiplas MP 152 galvanizadas - D = 3,40 m - brita produzida</v>
          </cell>
          <cell r="E471" t="str">
            <v>m</v>
          </cell>
          <cell r="F471">
            <v>6543.8251488888891</v>
          </cell>
          <cell r="G471">
            <v>6543.8251488888891</v>
          </cell>
          <cell r="H471">
            <v>6543.8251488888891</v>
          </cell>
          <cell r="I471">
            <v>0</v>
          </cell>
          <cell r="J471">
            <v>6538.0650044444446</v>
          </cell>
          <cell r="K471">
            <v>6538.0650044444446</v>
          </cell>
          <cell r="L471">
            <v>6538.0650044444446</v>
          </cell>
          <cell r="W471">
            <v>5915411</v>
          </cell>
          <cell r="X471" t="str">
            <v>Transporte com caminhão basculante de 10 m³ - rodovia com revestimento primário</v>
          </cell>
          <cell r="Y471" t="str">
            <v>tkm</v>
          </cell>
          <cell r="Z471">
            <v>2.15</v>
          </cell>
          <cell r="AA471">
            <v>0</v>
          </cell>
          <cell r="BC471" t="str">
            <v>M2185</v>
          </cell>
          <cell r="BD471" t="str">
            <v>Tubo de concreto armado PA 3 - D = 1,50 m</v>
          </cell>
          <cell r="BE471" t="str">
            <v>m</v>
          </cell>
          <cell r="BF471">
            <v>761.95749999999998</v>
          </cell>
          <cell r="BG471">
            <v>0</v>
          </cell>
        </row>
        <row r="472">
          <cell r="B472">
            <v>605494</v>
          </cell>
          <cell r="C472" t="str">
            <v>SICRO</v>
          </cell>
          <cell r="D472" t="str">
            <v>Bueiro metálico com chapas múltiplas MP 152 galvanizadas - D = 4,20 m - brita produzida</v>
          </cell>
          <cell r="E472" t="str">
            <v>m</v>
          </cell>
          <cell r="F472">
            <v>7997.8607297590361</v>
          </cell>
          <cell r="G472">
            <v>7997.8607297590361</v>
          </cell>
          <cell r="H472">
            <v>7997.8607297590361</v>
          </cell>
          <cell r="I472">
            <v>0</v>
          </cell>
          <cell r="J472">
            <v>7989.9896857831327</v>
          </cell>
          <cell r="K472">
            <v>7989.9896857831327</v>
          </cell>
          <cell r="L472">
            <v>7989.9896857831327</v>
          </cell>
          <cell r="W472">
            <v>5914374</v>
          </cell>
          <cell r="X472" t="str">
            <v>Transporte com caminhão basculante de 10 m³ - rodovia com revestimento primário</v>
          </cell>
          <cell r="Y472" t="str">
            <v>tkm</v>
          </cell>
          <cell r="Z472">
            <v>0.55000000000000004</v>
          </cell>
          <cell r="AA472">
            <v>0</v>
          </cell>
          <cell r="BC472">
            <v>2003849</v>
          </cell>
          <cell r="BD472" t="str">
            <v>Lastro de brita produzida</v>
          </cell>
          <cell r="BE472" t="str">
            <v>m³</v>
          </cell>
          <cell r="BF472">
            <v>53.09</v>
          </cell>
          <cell r="BG472">
            <v>0</v>
          </cell>
        </row>
        <row r="473">
          <cell r="B473">
            <v>605495</v>
          </cell>
          <cell r="C473" t="str">
            <v>SICRO</v>
          </cell>
          <cell r="D473" t="str">
            <v>Bueiro metálico com chapas múltiplas MP 152 galvanizadas - D = 4,60 m - brita produzida</v>
          </cell>
          <cell r="E473" t="str">
            <v>m</v>
          </cell>
          <cell r="F473">
            <v>8724.6461433333334</v>
          </cell>
          <cell r="G473">
            <v>8724.6461433333334</v>
          </cell>
          <cell r="H473">
            <v>8724.6461433333334</v>
          </cell>
          <cell r="I473">
            <v>0</v>
          </cell>
          <cell r="J473">
            <v>8716.5549599999995</v>
          </cell>
          <cell r="K473">
            <v>8716.5549599999995</v>
          </cell>
          <cell r="L473">
            <v>8716.5549599999995</v>
          </cell>
          <cell r="W473">
            <v>6416039</v>
          </cell>
          <cell r="X473" t="str">
            <v xml:space="preserve">Usinagem de brita graduada com brita produzida em usina de 300 t/h </v>
          </cell>
          <cell r="Y473" t="str">
            <v>m³</v>
          </cell>
          <cell r="Z473">
            <v>58.71</v>
          </cell>
          <cell r="AA473">
            <v>0</v>
          </cell>
          <cell r="BC473">
            <v>6817754</v>
          </cell>
          <cell r="BD473" t="str">
            <v>Confecção de BSCC - seção 1,5 x 1,5 m fechada - tipo I - areia extraída e brita produzida</v>
          </cell>
          <cell r="BE473" t="str">
            <v>m</v>
          </cell>
          <cell r="BF473">
            <v>754.14</v>
          </cell>
          <cell r="BG473">
            <v>0</v>
          </cell>
        </row>
        <row r="474">
          <cell r="B474">
            <v>605493</v>
          </cell>
          <cell r="C474" t="str">
            <v>SICRO</v>
          </cell>
          <cell r="D474" t="str">
            <v>Bueiro metálico com chapas múltiplas MP 152 galvanizadas - D = 3,80 m - brita produzida</v>
          </cell>
          <cell r="E474" t="str">
            <v>m</v>
          </cell>
          <cell r="F474">
            <v>7286.3588124675325</v>
          </cell>
          <cell r="G474">
            <v>7286.3588124675325</v>
          </cell>
          <cell r="H474">
            <v>7286.3588124675325</v>
          </cell>
          <cell r="I474">
            <v>0</v>
          </cell>
          <cell r="J474">
            <v>7280.7822254545463</v>
          </cell>
          <cell r="K474">
            <v>7280.7822254545463</v>
          </cell>
          <cell r="L474">
            <v>7280.7822254545463</v>
          </cell>
          <cell r="W474">
            <v>6416041</v>
          </cell>
          <cell r="X474" t="str">
            <v xml:space="preserve">Usinagem de brita graduada tratada com cimento e brita produzida em usina de 300 t/h </v>
          </cell>
          <cell r="Y474" t="str">
            <v>m³</v>
          </cell>
          <cell r="Z474">
            <v>83.32</v>
          </cell>
          <cell r="AA474">
            <v>0</v>
          </cell>
          <cell r="BC474">
            <v>6416247</v>
          </cell>
          <cell r="BD474" t="str">
            <v>Usinagem de concreto asfáltico com asfalto polímero - faixa C - areia extraída e brita produzida</v>
          </cell>
          <cell r="BE474" t="str">
            <v>t</v>
          </cell>
          <cell r="BF474">
            <v>83.02</v>
          </cell>
          <cell r="BG474">
            <v>0</v>
          </cell>
        </row>
        <row r="475">
          <cell r="B475">
            <v>2003446</v>
          </cell>
          <cell r="C475" t="str">
            <v>SICRO</v>
          </cell>
          <cell r="D475" t="str">
            <v>Dissipador de energia - DES 04 - areia extraída e pedra de mão produzida</v>
          </cell>
          <cell r="E475" t="str">
            <v>und</v>
          </cell>
          <cell r="F475">
            <v>191.7423</v>
          </cell>
          <cell r="G475">
            <v>191.7423</v>
          </cell>
          <cell r="H475">
            <v>191.7423</v>
          </cell>
          <cell r="I475">
            <v>0</v>
          </cell>
          <cell r="J475">
            <v>196.91640000000001</v>
          </cell>
          <cell r="K475">
            <v>196.91640000000001</v>
          </cell>
          <cell r="L475">
            <v>196.91640000000001</v>
          </cell>
          <cell r="W475">
            <v>5915407</v>
          </cell>
          <cell r="X475" t="str">
            <v>Carga, manobra e descarga de areia, brita, pedra de mão ou solos em caminhão basculante de 10 m³ - carga com carregadeira e descarga livre</v>
          </cell>
          <cell r="Y475" t="str">
            <v>t</v>
          </cell>
          <cell r="Z475">
            <v>1.71</v>
          </cell>
          <cell r="AA475">
            <v>0</v>
          </cell>
          <cell r="BC475">
            <v>6416091</v>
          </cell>
          <cell r="BD475" t="str">
            <v>Usinagem para sub-base de concreto compactado com rolo - brita produzida</v>
          </cell>
          <cell r="BE475" t="str">
            <v>m³</v>
          </cell>
          <cell r="BF475">
            <v>97.98</v>
          </cell>
          <cell r="BG475">
            <v>0</v>
          </cell>
        </row>
        <row r="476">
          <cell r="B476">
            <v>2003320</v>
          </cell>
          <cell r="C476" t="str">
            <v>SICRO</v>
          </cell>
          <cell r="D476" t="str">
            <v>Sarjeta triangular de concreto - STC 02 - areia extraída e brita produzida</v>
          </cell>
          <cell r="E476" t="str">
            <v>m</v>
          </cell>
          <cell r="F476">
            <v>52.640222000000001</v>
          </cell>
          <cell r="G476">
            <v>52.640222000000001</v>
          </cell>
          <cell r="H476">
            <v>52.640222000000001</v>
          </cell>
          <cell r="I476">
            <v>0</v>
          </cell>
          <cell r="J476">
            <v>54.436803000000005</v>
          </cell>
          <cell r="K476">
            <v>54.436803000000005</v>
          </cell>
          <cell r="L476">
            <v>54.436803000000005</v>
          </cell>
          <cell r="W476">
            <v>5914464</v>
          </cell>
          <cell r="X476" t="str">
            <v>Transporte com caminhão carroceria de 15 t - rodovia com revestimento primário</v>
          </cell>
          <cell r="Y476" t="str">
            <v>tkm</v>
          </cell>
          <cell r="Z476">
            <v>0.55000000000000004</v>
          </cell>
          <cell r="AA476">
            <v>0</v>
          </cell>
          <cell r="BC476">
            <v>6416089</v>
          </cell>
          <cell r="BD476" t="str">
            <v>Usinagem para pavimento de concreto com formas deslizantes com - extraída e brita produzida</v>
          </cell>
          <cell r="BE476" t="str">
            <v>m³</v>
          </cell>
          <cell r="BF476">
            <v>184.25</v>
          </cell>
          <cell r="BG476">
            <v>0</v>
          </cell>
        </row>
        <row r="477">
          <cell r="B477">
            <v>2003376</v>
          </cell>
          <cell r="C477" t="str">
            <v>SICRO</v>
          </cell>
          <cell r="D477" t="str">
            <v>Meio fio de concreto - MFC 05 - areia extraída e brita produzida - forma de madeira</v>
          </cell>
          <cell r="E477" t="str">
            <v>m</v>
          </cell>
          <cell r="F477">
            <v>17.565696000000003</v>
          </cell>
          <cell r="G477">
            <v>17.565696000000003</v>
          </cell>
          <cell r="H477">
            <v>17.565696000000003</v>
          </cell>
          <cell r="I477">
            <v>0</v>
          </cell>
          <cell r="J477">
            <v>18.317197</v>
          </cell>
          <cell r="K477">
            <v>18.317197</v>
          </cell>
          <cell r="L477">
            <v>18.317197</v>
          </cell>
          <cell r="W477" t="str">
            <v>E9678</v>
          </cell>
          <cell r="X477" t="str">
            <v>Fresadora a frio - 410 kW</v>
          </cell>
          <cell r="Y477" t="str">
            <v>h</v>
          </cell>
          <cell r="Z477">
            <v>963.08630000000005</v>
          </cell>
          <cell r="AA477">
            <v>378.7937</v>
          </cell>
          <cell r="BC477">
            <v>6416184</v>
          </cell>
          <cell r="BD477" t="str">
            <v>Usinagem de solo brita (70% - 30%) com 3% cimento - material de jazida e brita produzida</v>
          </cell>
          <cell r="BE477" t="str">
            <v>m³</v>
          </cell>
          <cell r="BF477">
            <v>47.66</v>
          </cell>
          <cell r="BG477">
            <v>0</v>
          </cell>
        </row>
        <row r="478">
          <cell r="B478">
            <v>2003334</v>
          </cell>
          <cell r="C478" t="str">
            <v>SICRO</v>
          </cell>
          <cell r="D478" t="str">
            <v>Entrada para descida d'água - EDA 03 - areia extraída e brita produzida</v>
          </cell>
          <cell r="E478" t="str">
            <v>und</v>
          </cell>
          <cell r="F478">
            <v>1333.9767300000001</v>
          </cell>
          <cell r="G478">
            <v>1333.9767300000001</v>
          </cell>
          <cell r="H478">
            <v>1333.9767300000001</v>
          </cell>
          <cell r="I478">
            <v>0</v>
          </cell>
          <cell r="J478">
            <v>1377.2379800000001</v>
          </cell>
          <cell r="K478">
            <v>1377.2379800000001</v>
          </cell>
          <cell r="L478">
            <v>1377.2379800000001</v>
          </cell>
          <cell r="W478" t="str">
            <v>M1995</v>
          </cell>
          <cell r="X478" t="str">
            <v>Apoio do porta bit para fresadora de 410 kW</v>
          </cell>
          <cell r="Y478" t="str">
            <v>un</v>
          </cell>
          <cell r="Z478">
            <v>993.54449999999997</v>
          </cell>
          <cell r="AA478">
            <v>0</v>
          </cell>
          <cell r="BC478" t="str">
            <v>M2517</v>
          </cell>
          <cell r="BD478" t="str">
            <v>Tunnel liner de chapa galvanizada - E = 3,4 mm e D = 4,6 m</v>
          </cell>
          <cell r="BE478" t="str">
            <v>m</v>
          </cell>
          <cell r="BF478">
            <v>8855.5090999999993</v>
          </cell>
          <cell r="BG478">
            <v>0</v>
          </cell>
        </row>
        <row r="479">
          <cell r="B479">
            <v>2003398</v>
          </cell>
          <cell r="C479" t="str">
            <v>SICRO</v>
          </cell>
          <cell r="D479" t="str">
            <v>Descida d'água de cortes em degraus - DCD 02 - areia extraída e brita produzida</v>
          </cell>
          <cell r="E479" t="str">
            <v>m</v>
          </cell>
          <cell r="F479">
            <v>439.96892679999996</v>
          </cell>
          <cell r="G479">
            <v>439.96892679999996</v>
          </cell>
          <cell r="H479">
            <v>439.96892679999996</v>
          </cell>
          <cell r="I479">
            <v>0</v>
          </cell>
          <cell r="J479">
            <v>458.29054619999999</v>
          </cell>
          <cell r="K479">
            <v>458.29054619999999</v>
          </cell>
          <cell r="L479">
            <v>458.29054619999999</v>
          </cell>
          <cell r="W479" t="str">
            <v>M1974</v>
          </cell>
          <cell r="X479" t="str">
            <v>Bit para fresadora de 410 kW</v>
          </cell>
          <cell r="Y479" t="str">
            <v>un</v>
          </cell>
          <cell r="Z479">
            <v>25.934799999999999</v>
          </cell>
          <cell r="AA479">
            <v>0</v>
          </cell>
          <cell r="BC479">
            <v>4816001</v>
          </cell>
          <cell r="BD479" t="str">
            <v xml:space="preserve">Escavação manual de tunnel liner em material de 2ª categoria </v>
          </cell>
          <cell r="BE479" t="str">
            <v>m³</v>
          </cell>
          <cell r="BF479">
            <v>707.1</v>
          </cell>
          <cell r="BG479">
            <v>0</v>
          </cell>
        </row>
        <row r="480">
          <cell r="B480">
            <v>2003442</v>
          </cell>
          <cell r="C480" t="str">
            <v>SICRO</v>
          </cell>
          <cell r="D480" t="str">
            <v>Dissipador de energia - DES 02 - areia extraída e pedra de mão produzida</v>
          </cell>
          <cell r="E480" t="str">
            <v>und</v>
          </cell>
          <cell r="F480">
            <v>130.27949999999998</v>
          </cell>
          <cell r="G480">
            <v>130.27949999999998</v>
          </cell>
          <cell r="H480">
            <v>130.27949999999998</v>
          </cell>
          <cell r="I480">
            <v>0</v>
          </cell>
          <cell r="J480">
            <v>133.79489999999998</v>
          </cell>
          <cell r="K480">
            <v>133.79489999999998</v>
          </cell>
          <cell r="L480">
            <v>133.79489999999998</v>
          </cell>
          <cell r="W480" t="str">
            <v>M1975</v>
          </cell>
          <cell r="X480" t="str">
            <v>Porta bits para fresadora de 410 kW</v>
          </cell>
          <cell r="Y480" t="str">
            <v>un</v>
          </cell>
          <cell r="Z480">
            <v>413.19420000000002</v>
          </cell>
          <cell r="AA480">
            <v>0</v>
          </cell>
          <cell r="BC480">
            <v>5914389</v>
          </cell>
          <cell r="BD480" t="str">
            <v>Transporte com caminhão basculante de 10 m³ - rodovia pavimentada</v>
          </cell>
          <cell r="BE480" t="str">
            <v>tkm</v>
          </cell>
          <cell r="BF480">
            <v>0.45</v>
          </cell>
          <cell r="BG480">
            <v>0</v>
          </cell>
        </row>
        <row r="481">
          <cell r="B481">
            <v>2003456</v>
          </cell>
          <cell r="C481" t="str">
            <v>SICRO</v>
          </cell>
          <cell r="D481" t="str">
            <v>Dissipador de energia - DEB 05 - areia extraída e pedra de mão produzida</v>
          </cell>
          <cell r="E481" t="str">
            <v>und</v>
          </cell>
          <cell r="F481">
            <v>0</v>
          </cell>
          <cell r="G481">
            <v>0</v>
          </cell>
          <cell r="H481">
            <v>0</v>
          </cell>
          <cell r="I481">
            <v>0</v>
          </cell>
          <cell r="J481">
            <v>2313.983098397</v>
          </cell>
          <cell r="K481">
            <v>2313.983098397</v>
          </cell>
          <cell r="L481">
            <v>2313.983098397</v>
          </cell>
          <cell r="W481" t="str">
            <v>E9670</v>
          </cell>
          <cell r="X481" t="str">
            <v>Usina móvel para micro revestimento com cavalo mecânico com capacidade de 12 m³ - 86 kW/ 240 kW</v>
          </cell>
          <cell r="Y481" t="str">
            <v>h</v>
          </cell>
          <cell r="Z481">
            <v>410.50850000000003</v>
          </cell>
          <cell r="AA481">
            <v>164.7851</v>
          </cell>
          <cell r="BC481">
            <v>5914479</v>
          </cell>
          <cell r="BD481" t="str">
            <v>Transporte com caminhão carroceria de 15 t - rodovia pavimentada</v>
          </cell>
          <cell r="BE481" t="str">
            <v>tkm</v>
          </cell>
          <cell r="BF481">
            <v>0.44</v>
          </cell>
          <cell r="BG481">
            <v>0</v>
          </cell>
        </row>
        <row r="482">
          <cell r="B482">
            <v>804120</v>
          </cell>
          <cell r="C482" t="str">
            <v>SICRO</v>
          </cell>
          <cell r="D482" t="str">
            <v>Boca BSTC D = 1,00 m - esconsidade 0° - areia extraída e brita produzida - alas retas</v>
          </cell>
          <cell r="E482" t="str">
            <v>und</v>
          </cell>
          <cell r="F482">
            <v>1352.2323000000001</v>
          </cell>
          <cell r="G482">
            <v>1352.2323000000001</v>
          </cell>
          <cell r="H482">
            <v>1352.2323000000001</v>
          </cell>
          <cell r="I482">
            <v>0</v>
          </cell>
          <cell r="J482">
            <v>1406.3076799999999</v>
          </cell>
          <cell r="K482">
            <v>1406.3076799999999</v>
          </cell>
          <cell r="L482">
            <v>1406.3076799999999</v>
          </cell>
          <cell r="W482" t="str">
            <v>M1950</v>
          </cell>
          <cell r="X482" t="str">
            <v>Emulsão com polímero para micro revestimento a frio</v>
          </cell>
          <cell r="Y482" t="str">
            <v>t</v>
          </cell>
          <cell r="Z482">
            <v>0</v>
          </cell>
          <cell r="AA482">
            <v>0</v>
          </cell>
          <cell r="BC482">
            <v>5914614</v>
          </cell>
          <cell r="BD482" t="str">
            <v>Transporte com caminhão carroceria com guindauto de 20 t.m - rodovia pavimentada</v>
          </cell>
          <cell r="BE482" t="str">
            <v>tkm</v>
          </cell>
          <cell r="BF482">
            <v>0.98</v>
          </cell>
          <cell r="BG482">
            <v>0</v>
          </cell>
        </row>
        <row r="483">
          <cell r="B483">
            <v>6817830</v>
          </cell>
          <cell r="C483" t="str">
            <v>SICRO</v>
          </cell>
          <cell r="D483" t="str">
            <v>Corpo BSCC - seção 1,5 x 1,5 m fechada - pré-moldado - tipo I - areia extraída e brita produzida</v>
          </cell>
          <cell r="E483" t="str">
            <v>m</v>
          </cell>
          <cell r="F483">
            <v>974.396449695</v>
          </cell>
          <cell r="G483">
            <v>974.396449695</v>
          </cell>
          <cell r="H483">
            <v>974.396449695</v>
          </cell>
          <cell r="I483">
            <v>0</v>
          </cell>
          <cell r="J483">
            <v>1000.1155226240001</v>
          </cell>
          <cell r="K483">
            <v>1000.1155226240001</v>
          </cell>
          <cell r="L483">
            <v>1000.1155226240001</v>
          </cell>
          <cell r="W483" t="str">
            <v>M0222</v>
          </cell>
          <cell r="X483" t="str">
            <v>Filler calcário</v>
          </cell>
          <cell r="Y483" t="str">
            <v>kg</v>
          </cell>
          <cell r="Z483">
            <v>0.17649999999999999</v>
          </cell>
          <cell r="AA483">
            <v>0</v>
          </cell>
          <cell r="BC483">
            <v>5914637</v>
          </cell>
          <cell r="BD483" t="str">
            <v>Transporte com cavalo mecânico de 22 t - rodovia pavimentada</v>
          </cell>
          <cell r="BE483" t="str">
            <v>tkm</v>
          </cell>
          <cell r="BF483">
            <v>0.44</v>
          </cell>
          <cell r="BG483">
            <v>0</v>
          </cell>
        </row>
        <row r="484">
          <cell r="B484">
            <v>2003731</v>
          </cell>
          <cell r="C484" t="str">
            <v>SICRO</v>
          </cell>
          <cell r="D484" t="str">
            <v>Caixa coletora de talvegue - CCT 03 - areia extraída e brita produzida</v>
          </cell>
          <cell r="E484" t="str">
            <v>und</v>
          </cell>
          <cell r="F484">
            <v>2696.4944999999998</v>
          </cell>
          <cell r="G484">
            <v>2696.4944999999998</v>
          </cell>
          <cell r="H484">
            <v>2696.4944999999998</v>
          </cell>
          <cell r="I484">
            <v>0</v>
          </cell>
          <cell r="J484">
            <v>2798.6833999999999</v>
          </cell>
          <cell r="K484">
            <v>2798.6833999999999</v>
          </cell>
          <cell r="L484">
            <v>2798.6833999999999</v>
          </cell>
          <cell r="W484">
            <v>5914328</v>
          </cell>
          <cell r="X484" t="str">
            <v>Carga, manobra e descarga de mistura betuminosa a quente em caminhão basculante de 6 m³ - carga de usina de asfalto 90/120</v>
          </cell>
          <cell r="Y484" t="str">
            <v>t</v>
          </cell>
          <cell r="Z484">
            <v>18.29</v>
          </cell>
          <cell r="AA484">
            <v>0</v>
          </cell>
          <cell r="BC484">
            <v>5914569</v>
          </cell>
          <cell r="BD484" t="str">
            <v>Transporte com caminhão betoneira - rodovia pavimentada</v>
          </cell>
          <cell r="BE484" t="str">
            <v>tkm</v>
          </cell>
          <cell r="BF484">
            <v>0.38</v>
          </cell>
          <cell r="BG484">
            <v>0</v>
          </cell>
        </row>
        <row r="485">
          <cell r="B485">
            <v>2003733</v>
          </cell>
          <cell r="C485" t="str">
            <v>SICRO</v>
          </cell>
          <cell r="D485" t="str">
            <v>Caixa coletora de talvegue - CCT 04 - areia extraída e brita produzida</v>
          </cell>
          <cell r="E485" t="str">
            <v>und</v>
          </cell>
          <cell r="F485">
            <v>2670.0340000000001</v>
          </cell>
          <cell r="G485">
            <v>2670.0340000000001</v>
          </cell>
          <cell r="H485">
            <v>2670.0340000000001</v>
          </cell>
          <cell r="I485">
            <v>0</v>
          </cell>
          <cell r="J485">
            <v>2771.5001999999999</v>
          </cell>
          <cell r="K485">
            <v>2771.5001999999999</v>
          </cell>
          <cell r="L485">
            <v>2771.5001999999999</v>
          </cell>
          <cell r="W485">
            <v>4915801</v>
          </cell>
          <cell r="X485" t="str">
            <v>Mistura betuminosa</v>
          </cell>
          <cell r="Y485" t="str">
            <v>m³</v>
          </cell>
          <cell r="Z485">
            <v>0</v>
          </cell>
          <cell r="AA485">
            <v>0</v>
          </cell>
          <cell r="BC485">
            <v>5914345</v>
          </cell>
          <cell r="BD485" t="str">
            <v>Transporte de concreto com caminhão basculante de 7 m³ - rodovia pavimentada</v>
          </cell>
          <cell r="BE485" t="str">
            <v>tkm</v>
          </cell>
          <cell r="BF485">
            <v>0.4</v>
          </cell>
          <cell r="BG485">
            <v>0</v>
          </cell>
        </row>
        <row r="486">
          <cell r="B486">
            <v>2003741</v>
          </cell>
          <cell r="C486" t="str">
            <v>SICRO</v>
          </cell>
          <cell r="D486" t="str">
            <v>Caixa coletora de talvegue - CCT 08 - areia extraída e brita produzida</v>
          </cell>
          <cell r="E486" t="str">
            <v>und</v>
          </cell>
          <cell r="F486">
            <v>3610.1425000000004</v>
          </cell>
          <cell r="G486">
            <v>3610.1425000000004</v>
          </cell>
          <cell r="H486">
            <v>3610.1425000000004</v>
          </cell>
          <cell r="I486">
            <v>0</v>
          </cell>
          <cell r="J486">
            <v>3744.6192000000001</v>
          </cell>
          <cell r="K486">
            <v>3744.6192000000001</v>
          </cell>
          <cell r="L486">
            <v>3744.6192000000001</v>
          </cell>
          <cell r="W486" t="str">
            <v>E9522</v>
          </cell>
          <cell r="X486" t="str">
            <v>Caldeira de asfalto rebocável com capacidade de 1.500 l - 6,5 kW</v>
          </cell>
          <cell r="Y486" t="str">
            <v>h</v>
          </cell>
          <cell r="Z486">
            <v>12.705500000000001</v>
          </cell>
          <cell r="AA486">
            <v>7.4044999999999996</v>
          </cell>
          <cell r="BC486">
            <v>5914344</v>
          </cell>
          <cell r="BD486" t="str">
            <v>Transporte com caminhão basculante de 6 m³ - rodovia pavimentada</v>
          </cell>
          <cell r="BE486" t="str">
            <v>tkm</v>
          </cell>
          <cell r="BF486">
            <v>0.6</v>
          </cell>
          <cell r="BG486">
            <v>0</v>
          </cell>
        </row>
        <row r="487">
          <cell r="B487">
            <v>4011465</v>
          </cell>
          <cell r="C487" t="str">
            <v>SICRO</v>
          </cell>
          <cell r="D487" t="str">
            <v>Concreto asfáltico com asfalto polímero - faixa C - areia extraída, brita produzida</v>
          </cell>
          <cell r="E487" t="str">
            <v>t</v>
          </cell>
          <cell r="F487">
            <v>126.29626802090939</v>
          </cell>
          <cell r="G487">
            <v>126.29626802090939</v>
          </cell>
          <cell r="H487">
            <v>126.29626802090939</v>
          </cell>
          <cell r="I487">
            <v>0</v>
          </cell>
          <cell r="J487">
            <v>125.39141674203148</v>
          </cell>
          <cell r="K487">
            <v>125.39141674203148</v>
          </cell>
          <cell r="L487">
            <v>125.39141674203148</v>
          </cell>
          <cell r="W487" t="str">
            <v>M0769</v>
          </cell>
          <cell r="X487" t="str">
            <v>Lona plástica de 200 micras de espessura</v>
          </cell>
          <cell r="Y487" t="str">
            <v>m²</v>
          </cell>
          <cell r="Z487">
            <v>1.7944</v>
          </cell>
          <cell r="AA487">
            <v>0</v>
          </cell>
          <cell r="BC487">
            <v>6416221</v>
          </cell>
          <cell r="BD487" t="str">
            <v>Usinagem de pré-misturado a frio - faixa C - areia extraída e brita produzida</v>
          </cell>
          <cell r="BE487" t="str">
            <v>m³</v>
          </cell>
          <cell r="BF487">
            <v>98.72</v>
          </cell>
          <cell r="BG487" t="str">
            <v>-</v>
          </cell>
        </row>
        <row r="488">
          <cell r="B488">
            <v>4011213</v>
          </cell>
          <cell r="C488" t="str">
            <v>SICRO</v>
          </cell>
          <cell r="D488" t="str">
            <v>Sub-base de concreto compactado com rolo com brita produzida</v>
          </cell>
          <cell r="E488" t="str">
            <v>m³</v>
          </cell>
          <cell r="F488">
            <v>146.23056698038596</v>
          </cell>
          <cell r="G488">
            <v>146.23056698038596</v>
          </cell>
          <cell r="H488">
            <v>146.23056698038596</v>
          </cell>
          <cell r="I488">
            <v>0</v>
          </cell>
          <cell r="J488">
            <v>144.12382974409678</v>
          </cell>
          <cell r="K488">
            <v>144.12382974409678</v>
          </cell>
          <cell r="L488">
            <v>144.12382974409678</v>
          </cell>
          <cell r="W488">
            <v>5216116</v>
          </cell>
          <cell r="X488" t="str">
            <v>Fabricação de balizador de concreto - seção circular de 10 cm - areia e brita comerciais</v>
          </cell>
          <cell r="Y488" t="str">
            <v>un</v>
          </cell>
          <cell r="Z488">
            <v>10.4</v>
          </cell>
          <cell r="AA488">
            <v>0</v>
          </cell>
          <cell r="BC488">
            <v>5914650</v>
          </cell>
          <cell r="BD488" t="str">
            <v>Usinagem de pré-misturado a frio - faixa C - areia extraída e brita produzida - Caminhão basculante 10 m³</v>
          </cell>
          <cell r="BE488" t="str">
            <v>t</v>
          </cell>
          <cell r="BF488">
            <v>7.73</v>
          </cell>
          <cell r="BG488" t="str">
            <v>-</v>
          </cell>
        </row>
        <row r="489">
          <cell r="B489">
            <v>4011532</v>
          </cell>
          <cell r="C489" t="str">
            <v>SICRO</v>
          </cell>
          <cell r="D489" t="str">
            <v>Pavimento de concreto com formas deslizantes - areia extraída e brita produzida</v>
          </cell>
          <cell r="E489" t="str">
            <v>m³</v>
          </cell>
          <cell r="F489">
            <v>205.58615706875389</v>
          </cell>
          <cell r="G489">
            <v>205.58615706875389</v>
          </cell>
          <cell r="H489">
            <v>124.97476682316909</v>
          </cell>
          <cell r="I489">
            <v>0</v>
          </cell>
          <cell r="J489">
            <v>207.46266181199951</v>
          </cell>
          <cell r="K489">
            <v>207.46266181199951</v>
          </cell>
          <cell r="L489">
            <v>207.46266181199951</v>
          </cell>
          <cell r="W489" t="str">
            <v>E9042</v>
          </cell>
          <cell r="X489" t="str">
            <v>Trator de esteiras com lâmina - 74,5 kW</v>
          </cell>
          <cell r="Y489" t="str">
            <v>h</v>
          </cell>
          <cell r="Z489">
            <v>172.24639999999999</v>
          </cell>
          <cell r="AA489">
            <v>82.263999999999996</v>
          </cell>
          <cell r="BC489" t="str">
            <v>M0068</v>
          </cell>
          <cell r="BD489" t="str">
            <v>Caibro de pinho de 7,5 x 10 cm</v>
          </cell>
          <cell r="BE489" t="str">
            <v>m</v>
          </cell>
          <cell r="BF489">
            <v>25.846499999999999</v>
          </cell>
          <cell r="BG489">
            <v>0</v>
          </cell>
        </row>
        <row r="490">
          <cell r="B490">
            <v>1107890</v>
          </cell>
          <cell r="C490" t="str">
            <v>SICRO</v>
          </cell>
          <cell r="D490" t="str">
            <v>Concreto fck = 30 MPa - confecção em central dosadora de 30 m³/h - areia e brita comerciais</v>
          </cell>
          <cell r="E490" t="str">
            <v>m³</v>
          </cell>
          <cell r="F490">
            <v>294.4951244494618</v>
          </cell>
          <cell r="G490">
            <v>294.4951244494618</v>
          </cell>
          <cell r="H490">
            <v>294.4951244494618</v>
          </cell>
          <cell r="I490">
            <v>0</v>
          </cell>
          <cell r="J490">
            <v>310.25740418371817</v>
          </cell>
          <cell r="K490">
            <v>310.25740418371817</v>
          </cell>
          <cell r="L490">
            <v>310.25740418371817</v>
          </cell>
          <cell r="W490">
            <v>4016007</v>
          </cell>
          <cell r="X490" t="str">
            <v>Escavação e carga de material de jazida com trator de 74,5 kW e carregadeira de 1,53 m³</v>
          </cell>
          <cell r="Y490" t="str">
            <v>m³</v>
          </cell>
          <cell r="Z490">
            <v>3.04</v>
          </cell>
          <cell r="AA490">
            <v>0</v>
          </cell>
          <cell r="BC490" t="str">
            <v>M0289</v>
          </cell>
          <cell r="BD490" t="str">
            <v>Tábua de 2,5 x 15 cm</v>
          </cell>
          <cell r="BE490" t="str">
            <v>m</v>
          </cell>
          <cell r="BF490">
            <v>2.75</v>
          </cell>
          <cell r="BG490">
            <v>0</v>
          </cell>
        </row>
        <row r="491">
          <cell r="B491">
            <v>1106138</v>
          </cell>
          <cell r="C491" t="str">
            <v>SICRO</v>
          </cell>
          <cell r="D491" t="str">
            <v>Concreto fck = 30 MPa - confecção em central dosadora de 30 m³/h - areia extraída e brita produzida</v>
          </cell>
          <cell r="E491" t="str">
            <v>m³</v>
          </cell>
          <cell r="F491">
            <v>238.09255853039679</v>
          </cell>
          <cell r="G491">
            <v>238.09255853039679</v>
          </cell>
          <cell r="H491">
            <v>238.09255853039679</v>
          </cell>
          <cell r="I491">
            <v>0</v>
          </cell>
          <cell r="J491">
            <v>239.14998230921822</v>
          </cell>
          <cell r="K491">
            <v>239.14998230921822</v>
          </cell>
          <cell r="L491">
            <v>239.14998230921822</v>
          </cell>
          <cell r="W491">
            <v>5914641</v>
          </cell>
          <cell r="X491" t="str">
            <v>Carga, manobra e descarga de agregados ou solos em caminhão basculante de 6 m³ carga com carregadeira (exclusa) e</v>
          </cell>
          <cell r="Y491" t="str">
            <v>t</v>
          </cell>
          <cell r="Z491">
            <v>1.28</v>
          </cell>
          <cell r="AA491">
            <v>0</v>
          </cell>
          <cell r="BC491">
            <v>5405971</v>
          </cell>
          <cell r="BD491" t="str">
            <v xml:space="preserve">Fabricação de escama de concreto armado para solo reforçado com fita metálica - 6 a 8 chumbadores - areia e brita comerciais </v>
          </cell>
          <cell r="BE491" t="str">
            <v>m³</v>
          </cell>
          <cell r="BF491">
            <v>1045.46</v>
          </cell>
          <cell r="BG491">
            <v>0</v>
          </cell>
        </row>
        <row r="492">
          <cell r="B492">
            <v>4011239</v>
          </cell>
          <cell r="C492" t="str">
            <v>SICRO</v>
          </cell>
          <cell r="D492" t="str">
            <v>Base estabilizada granulometricamente com mistura solo brita (70% - 30%) com 3% de cimento em usina com material de jazida e brita produzida</v>
          </cell>
          <cell r="E492" t="str">
            <v>m³</v>
          </cell>
          <cell r="F492">
            <v>87.289784337872092</v>
          </cell>
          <cell r="G492">
            <v>87.289784337872092</v>
          </cell>
          <cell r="H492">
            <v>87.289784337872092</v>
          </cell>
          <cell r="I492">
            <v>0</v>
          </cell>
          <cell r="J492">
            <v>86.292737661517762</v>
          </cell>
          <cell r="K492">
            <v>86.292737661517762</v>
          </cell>
          <cell r="L492">
            <v>86.292737661517762</v>
          </cell>
          <cell r="W492" t="str">
            <v>E9517</v>
          </cell>
          <cell r="X492" t="str">
            <v>Compressor de ar portátil de 912 PCM - 184 kW</v>
          </cell>
          <cell r="Y492" t="str">
            <v>h</v>
          </cell>
          <cell r="Z492">
            <v>151.82730000000001</v>
          </cell>
          <cell r="AA492">
            <v>31.7668</v>
          </cell>
          <cell r="BC492">
            <v>5405976</v>
          </cell>
          <cell r="BD492" t="str">
            <v>Montagem das escamas de concreto armado em solo reforçado com fita metálica</v>
          </cell>
          <cell r="BE492" t="str">
            <v>m²</v>
          </cell>
          <cell r="BF492">
            <v>132.71</v>
          </cell>
          <cell r="BG492">
            <v>0</v>
          </cell>
        </row>
        <row r="493">
          <cell r="B493" t="str">
            <v>0705248-A</v>
          </cell>
          <cell r="C493" t="str">
            <v>SICRO</v>
          </cell>
          <cell r="D493" t="str">
            <v>Recomposição de Bocas de Bueiros: Boca BSTM D = 3,00 m - esconsidade 0° - areia extraída e brita produzida - alas retas</v>
          </cell>
          <cell r="E493" t="str">
            <v>unid</v>
          </cell>
          <cell r="F493">
            <v>23467.560999999998</v>
          </cell>
          <cell r="G493">
            <v>23467.560999999998</v>
          </cell>
          <cell r="H493">
            <v>23467.560999999998</v>
          </cell>
          <cell r="I493">
            <v>0</v>
          </cell>
          <cell r="J493">
            <v>24240.78355</v>
          </cell>
          <cell r="K493">
            <v>24240.78355</v>
          </cell>
          <cell r="L493">
            <v>24240.78355</v>
          </cell>
          <cell r="W493" t="str">
            <v>P9892</v>
          </cell>
          <cell r="X493" t="str">
            <v>Auxiliar de blaster</v>
          </cell>
          <cell r="Y493" t="str">
            <v>h</v>
          </cell>
          <cell r="Z493">
            <v>29.974399999999999</v>
          </cell>
          <cell r="AA493">
            <v>0</v>
          </cell>
          <cell r="BC493">
            <v>6817814</v>
          </cell>
          <cell r="BD493" t="str">
            <v>Confecção de BSCC - seção 2,0 x 2,0 m canal - tipo I - areia extraída e brita produzida</v>
          </cell>
          <cell r="BE493" t="str">
            <v>m</v>
          </cell>
          <cell r="BF493">
            <v>970.14</v>
          </cell>
          <cell r="BG493">
            <v>0</v>
          </cell>
        </row>
        <row r="494">
          <cell r="B494" t="str">
            <v>0705337-A</v>
          </cell>
          <cell r="C494" t="str">
            <v>SICRO</v>
          </cell>
          <cell r="D494" t="str">
            <v>Recomposição de Bocas de Bueiros: Boca BDTM D = 3,80 m - esconsidade 0° - areia extraída e brita produzida - alas retas</v>
          </cell>
          <cell r="E494" t="str">
            <v>unid</v>
          </cell>
          <cell r="F494">
            <v>35471.031029999998</v>
          </cell>
          <cell r="G494">
            <v>35471.031029999998</v>
          </cell>
          <cell r="H494">
            <v>35471.031029999998</v>
          </cell>
          <cell r="I494">
            <v>0</v>
          </cell>
          <cell r="J494">
            <v>36608.822473333334</v>
          </cell>
          <cell r="K494">
            <v>36608.822473333334</v>
          </cell>
          <cell r="L494">
            <v>36608.822473333334</v>
          </cell>
          <cell r="W494" t="str">
            <v>M2138</v>
          </cell>
          <cell r="X494" t="str">
            <v>Nonel de coluna com 12 m</v>
          </cell>
          <cell r="Y494" t="str">
            <v>un</v>
          </cell>
          <cell r="Z494">
            <v>15.142300000000001</v>
          </cell>
          <cell r="AA494">
            <v>0</v>
          </cell>
          <cell r="BC494">
            <v>1106135</v>
          </cell>
          <cell r="BD494" t="str">
            <v>Concreto fck = 25 MPa - confecção em central dosadora de 30 m³/h - areia extraída e brita produzida</v>
          </cell>
          <cell r="BE494" t="str">
            <v>m³</v>
          </cell>
          <cell r="BF494">
            <v>187.86</v>
          </cell>
          <cell r="BG494">
            <v>0</v>
          </cell>
        </row>
        <row r="495">
          <cell r="B495">
            <v>605521</v>
          </cell>
          <cell r="C495" t="str">
            <v>SICRO</v>
          </cell>
          <cell r="D495" t="str">
            <v>Bueiro metálico sem interrupção de tráfego com D = 4,60 m - chapa galvanizada - escavado em material de 1ª categoria - aterro rodoviário máximo = 4 m</v>
          </cell>
          <cell r="E495" t="str">
            <v>m</v>
          </cell>
          <cell r="F495">
            <v>22830.957213574995</v>
          </cell>
          <cell r="G495">
            <v>22830.957213574995</v>
          </cell>
          <cell r="H495">
            <v>22830.957213574995</v>
          </cell>
          <cell r="I495">
            <v>0</v>
          </cell>
          <cell r="J495">
            <v>23219.557099924998</v>
          </cell>
          <cell r="K495">
            <v>23219.557099924998</v>
          </cell>
          <cell r="L495">
            <v>23219.557099924998</v>
          </cell>
          <cell r="W495">
            <v>1109670</v>
          </cell>
          <cell r="X495" t="str">
            <v>Argamassa de cimento e areia 1:4 - areia extraída</v>
          </cell>
          <cell r="Y495" t="str">
            <v>m³</v>
          </cell>
          <cell r="Z495">
            <v>231.85</v>
          </cell>
          <cell r="AA495">
            <v>0</v>
          </cell>
          <cell r="BC495" t="str">
            <v>E9001</v>
          </cell>
          <cell r="BD495" t="str">
            <v>Conjunto vibratório para tubos de concreto com encaixe PB e 3 jogos de formas - D = 60 cm - 2,2 kW</v>
          </cell>
          <cell r="BE495" t="str">
            <v>h</v>
          </cell>
          <cell r="BF495">
            <v>14.751099999999999</v>
          </cell>
          <cell r="BG495">
            <v>9.1494</v>
          </cell>
        </row>
        <row r="496">
          <cell r="B496">
            <v>4011421</v>
          </cell>
          <cell r="C496" t="str">
            <v>SICRO</v>
          </cell>
          <cell r="D496" t="str">
            <v>Pré-misturado a frio - faixa C - areia extraída, brita produzida</v>
          </cell>
          <cell r="E496" t="str">
            <v>m³</v>
          </cell>
          <cell r="F496">
            <v>165.41727940504575</v>
          </cell>
          <cell r="G496">
            <v>165.41727940504575</v>
          </cell>
          <cell r="H496">
            <v>165.41727940504575</v>
          </cell>
          <cell r="I496">
            <v>0</v>
          </cell>
          <cell r="J496">
            <v>168.72594859232254</v>
          </cell>
          <cell r="K496">
            <v>168.72594859232254</v>
          </cell>
          <cell r="L496">
            <v>168.72594859232254</v>
          </cell>
          <cell r="W496">
            <v>1106164</v>
          </cell>
          <cell r="X496" t="str">
            <v>Concreto ciclópico fck = 20 MPa - confecção em betoneira e lançamento manual - areia extraída, brita e pedra de mão produzidas</v>
          </cell>
          <cell r="Y496" t="str">
            <v>m³</v>
          </cell>
          <cell r="Z496">
            <v>233.92</v>
          </cell>
          <cell r="AA496">
            <v>0</v>
          </cell>
          <cell r="BC496" t="str">
            <v>E9008</v>
          </cell>
          <cell r="BD496" t="str">
            <v>Transportador manual de tubos de concreto</v>
          </cell>
          <cell r="BE496" t="str">
            <v>h</v>
          </cell>
          <cell r="BF496">
            <v>2.2361</v>
          </cell>
          <cell r="BG496">
            <v>1.4702999999999999</v>
          </cell>
        </row>
        <row r="497">
          <cell r="B497" t="str">
            <v>29.88.05.01.01</v>
          </cell>
          <cell r="C497" t="str">
            <v>DERSA</v>
          </cell>
          <cell r="D497" t="str">
            <v>Conc. proj fck 30 MPa c/ fibras metálicas med seção túnel</v>
          </cell>
          <cell r="E497" t="str">
            <v>m³</v>
          </cell>
          <cell r="F497">
            <v>2188.62087996119</v>
          </cell>
          <cell r="G497">
            <v>2188.62087996119</v>
          </cell>
          <cell r="H497">
            <v>2188.62087996119</v>
          </cell>
          <cell r="J497">
            <v>2188.62087996119</v>
          </cell>
          <cell r="K497">
            <v>2188.62087996119</v>
          </cell>
          <cell r="L497">
            <v>2188.62087996119</v>
          </cell>
          <cell r="W497">
            <v>1109668</v>
          </cell>
          <cell r="X497" t="str">
            <v>Argamassa de cimento e areia 1:3 - areia extraída</v>
          </cell>
          <cell r="Y497" t="str">
            <v>m³</v>
          </cell>
          <cell r="Z497">
            <v>265.91000000000003</v>
          </cell>
          <cell r="AA497">
            <v>0</v>
          </cell>
          <cell r="BC497" t="str">
            <v>E9002</v>
          </cell>
          <cell r="BD497" t="str">
            <v>Conjunto vibratório para tubos de concreto com encaixe PB e 3 jogos de formas - D = 80 cm - 2,2 kW</v>
          </cell>
          <cell r="BE497" t="str">
            <v>h</v>
          </cell>
          <cell r="BF497">
            <v>16.21</v>
          </cell>
          <cell r="BG497">
            <v>10.0543</v>
          </cell>
        </row>
        <row r="498">
          <cell r="B498" t="str">
            <v>29.88.30.01.02</v>
          </cell>
          <cell r="C498" t="str">
            <v>DERSA</v>
          </cell>
          <cell r="D498" t="str">
            <v>Perfilagem acústica de alta resolução em furo de sondagem sub-horizontal</v>
          </cell>
          <cell r="E498" t="str">
            <v>m</v>
          </cell>
          <cell r="F498">
            <v>449.15329753058666</v>
          </cell>
          <cell r="G498">
            <v>449.15329753058666</v>
          </cell>
          <cell r="H498">
            <v>449.15329753058666</v>
          </cell>
          <cell r="J498">
            <v>449.15329753058666</v>
          </cell>
          <cell r="K498">
            <v>449.15329753058666</v>
          </cell>
          <cell r="L498">
            <v>449.15329753058666</v>
          </cell>
          <cell r="W498">
            <v>1106058</v>
          </cell>
          <cell r="X498" t="str">
            <v>Concreto magro - confecção em betoneira e lançamento manual - areia extraída e brita produzida</v>
          </cell>
          <cell r="Y498" t="str">
            <v>m³</v>
          </cell>
          <cell r="Z498">
            <v>206.42</v>
          </cell>
          <cell r="AA498">
            <v>0</v>
          </cell>
          <cell r="BC498" t="str">
            <v>E9003</v>
          </cell>
          <cell r="BD498" t="str">
            <v>Conjunto vibratório para tubos de concreto com encaixe PB e 3 jogos de formas - D = 100 cm - 2,2 kW</v>
          </cell>
          <cell r="BE498" t="str">
            <v>h</v>
          </cell>
          <cell r="BF498">
            <v>17.22</v>
          </cell>
          <cell r="BG498">
            <v>10.682</v>
          </cell>
        </row>
        <row r="499">
          <cell r="B499" t="str">
            <v>29.88.30.01.01</v>
          </cell>
          <cell r="C499" t="str">
            <v>DERSA</v>
          </cell>
          <cell r="D499" t="str">
            <v>Perfilagem ótica da perfuração exploratória-visual sub-horizontal</v>
          </cell>
          <cell r="E499" t="str">
            <v>m</v>
          </cell>
          <cell r="F499">
            <v>449.15329753058666</v>
          </cell>
          <cell r="G499">
            <v>449.15329753058666</v>
          </cell>
          <cell r="H499">
            <v>449.15329753058666</v>
          </cell>
          <cell r="J499">
            <v>449.15329753058666</v>
          </cell>
          <cell r="K499">
            <v>449.15329753058666</v>
          </cell>
          <cell r="L499">
            <v>449.15329753058666</v>
          </cell>
          <cell r="W499">
            <v>6817796</v>
          </cell>
          <cell r="X499" t="str">
            <v>Confecção de BSCC - seção 3,0 x 3,0 m fechada - tipo I - areia extraída e brita produzida</v>
          </cell>
          <cell r="Y499" t="str">
            <v>m</v>
          </cell>
          <cell r="Z499">
            <v>2141.2800000000002</v>
          </cell>
          <cell r="AA499">
            <v>0</v>
          </cell>
          <cell r="BC499" t="str">
            <v>E9004</v>
          </cell>
          <cell r="BD499" t="str">
            <v>Conjunto vibratório para tubos de concreto com encaixe PB e 3 jogos de formas - D = 100 cm - 2,2 kW</v>
          </cell>
          <cell r="BE499" t="str">
            <v>h</v>
          </cell>
          <cell r="BF499">
            <v>17.371300000000002</v>
          </cell>
          <cell r="BG499">
            <v>10.7746</v>
          </cell>
        </row>
        <row r="500">
          <cell r="B500">
            <v>5605940</v>
          </cell>
          <cell r="C500" t="str">
            <v>SICRO</v>
          </cell>
          <cell r="D500" t="str">
            <v>Perfuração para tirantes em material de 3ª categoria com diâmetro de até 120 mm</v>
          </cell>
          <cell r="E500" t="str">
            <v>m</v>
          </cell>
          <cell r="F500">
            <v>44.726183059638544</v>
          </cell>
          <cell r="G500">
            <v>44.726183059638544</v>
          </cell>
          <cell r="H500">
            <v>44.726183059638544</v>
          </cell>
          <cell r="I500">
            <v>0</v>
          </cell>
          <cell r="J500">
            <v>45.12120332650602</v>
          </cell>
          <cell r="K500">
            <v>45.12120332650602</v>
          </cell>
          <cell r="L500">
            <v>45.12120332650602</v>
          </cell>
          <cell r="W500">
            <v>1107891</v>
          </cell>
          <cell r="X500" t="str">
            <v>Concreto fck = 20 MPa - confecção em betoneira e lançamento manual - areia extraída e brita produzida</v>
          </cell>
          <cell r="Y500" t="str">
            <v>m³</v>
          </cell>
          <cell r="Z500">
            <v>247.12</v>
          </cell>
          <cell r="AA500">
            <v>0</v>
          </cell>
          <cell r="BC500" t="str">
            <v>E9005</v>
          </cell>
          <cell r="BD500" t="str">
            <v>Conjunto vibratório para tubos de concreto com encaixe PB e 3 jogos de formas - D = 150 cm - 2,2 kW</v>
          </cell>
          <cell r="BE500" t="str">
            <v>h</v>
          </cell>
          <cell r="BF500">
            <v>17.381499999999999</v>
          </cell>
          <cell r="BG500">
            <v>10.780900000000001</v>
          </cell>
        </row>
        <row r="501">
          <cell r="B501">
            <v>407819</v>
          </cell>
          <cell r="C501" t="str">
            <v>SICRO</v>
          </cell>
          <cell r="D501" t="str">
            <v>Armação em aço CA-50 - fornecimento, preparo e colocação</v>
          </cell>
          <cell r="E501" t="str">
            <v>kg</v>
          </cell>
          <cell r="F501">
            <v>8.2212671999999998</v>
          </cell>
          <cell r="G501">
            <v>8.2212671999999998</v>
          </cell>
          <cell r="H501">
            <v>8.2212671999999998</v>
          </cell>
          <cell r="I501">
            <v>0</v>
          </cell>
          <cell r="J501">
            <v>8.4210864000000019</v>
          </cell>
          <cell r="K501">
            <v>8.4210864000000019</v>
          </cell>
          <cell r="L501">
            <v>8.4210864000000019</v>
          </cell>
          <cell r="W501" t="str">
            <v>M1385</v>
          </cell>
          <cell r="X501" t="str">
            <v>Disco diamantado - D = 350 mm</v>
          </cell>
          <cell r="Y501" t="str">
            <v>un</v>
          </cell>
          <cell r="Z501">
            <v>247.2346</v>
          </cell>
          <cell r="AA501">
            <v>0</v>
          </cell>
          <cell r="BC501">
            <v>4805765</v>
          </cell>
          <cell r="BD501" t="str">
            <v>Escavação de vala em material de 3ª categoria</v>
          </cell>
          <cell r="BE501" t="str">
            <v>m³</v>
          </cell>
          <cell r="BF501">
            <v>322.85000000000002</v>
          </cell>
          <cell r="BG501">
            <v>0</v>
          </cell>
        </row>
        <row r="502">
          <cell r="B502" t="str">
            <v>29.88.13.01</v>
          </cell>
          <cell r="C502" t="str">
            <v>DERSA</v>
          </cell>
          <cell r="D502" t="str">
            <v>Perfuração ø54/64 mm sem recuperação executada na frente de escavação l&lt;24m</v>
          </cell>
          <cell r="E502" t="str">
            <v>m</v>
          </cell>
          <cell r="F502">
            <v>132.23073079300471</v>
          </cell>
          <cell r="G502">
            <v>132.23073079300471</v>
          </cell>
          <cell r="H502">
            <v>132.23073079300471</v>
          </cell>
          <cell r="J502">
            <v>132.23073079300471</v>
          </cell>
          <cell r="K502">
            <v>132.23073079300471</v>
          </cell>
          <cell r="L502">
            <v>132.23073079300471</v>
          </cell>
          <cell r="W502" t="str">
            <v>M1391</v>
          </cell>
          <cell r="X502" t="str">
            <v>Ponteiro para martelete de 22 x 1.000 mm</v>
          </cell>
          <cell r="Y502" t="str">
            <v>un</v>
          </cell>
          <cell r="Z502">
            <v>140.4496</v>
          </cell>
          <cell r="AA502">
            <v>0</v>
          </cell>
          <cell r="BC502">
            <v>1107891</v>
          </cell>
          <cell r="BD502" t="str">
            <v>Concreto fck = 20 MPa - confecção em betoneira e lançamento manual - areia extraída e brita produzida</v>
          </cell>
          <cell r="BE502" t="str">
            <v>m³</v>
          </cell>
          <cell r="BF502">
            <v>240.55</v>
          </cell>
          <cell r="BG502">
            <v>0</v>
          </cell>
        </row>
        <row r="503">
          <cell r="B503">
            <v>5502804</v>
          </cell>
          <cell r="C503" t="str">
            <v>SICRO</v>
          </cell>
          <cell r="D503" t="str">
            <v>Escavação, carga e transporte de material de 3ª categoria - DMT de 2.000 a 2.500 m - caminho de serviço pavimentado - com caminhão basculante de 12 m³</v>
          </cell>
          <cell r="E503" t="str">
            <v>m³xKm</v>
          </cell>
          <cell r="F503">
            <v>30.662208076520049</v>
          </cell>
          <cell r="G503">
            <v>30.662208076520049</v>
          </cell>
          <cell r="H503">
            <v>30.662208076520049</v>
          </cell>
          <cell r="I503">
            <v>0</v>
          </cell>
          <cell r="J503">
            <v>30.916974816972861</v>
          </cell>
          <cell r="K503">
            <v>30.916974816972861</v>
          </cell>
          <cell r="L503">
            <v>30.916974816972861</v>
          </cell>
          <cell r="W503">
            <v>1106138</v>
          </cell>
          <cell r="X503" t="str">
            <v>Concreto fck = 30 MPa - confecção em central dosadora de 30 m³/h - areia extraída e brita produzida</v>
          </cell>
          <cell r="Y503" t="str">
            <v>m³</v>
          </cell>
          <cell r="Z503">
            <v>206.61</v>
          </cell>
          <cell r="AA503">
            <v>0</v>
          </cell>
          <cell r="BC503">
            <v>1107895</v>
          </cell>
          <cell r="BD503" t="str">
            <v>Concreto fck = 25 MPa - confecção em betoneira e lançamento manual - areia extraída e brita produzida</v>
          </cell>
          <cell r="BE503" t="str">
            <v>m³</v>
          </cell>
          <cell r="BF503">
            <v>261.68</v>
          </cell>
          <cell r="BG503">
            <v>0</v>
          </cell>
        </row>
        <row r="504">
          <cell r="B504" t="str">
            <v>74195/001</v>
          </cell>
          <cell r="C504" t="str">
            <v>SINAPI</v>
          </cell>
          <cell r="D504" t="str">
            <v>Guarda corpo metálico 1,1 m</v>
          </cell>
          <cell r="E504" t="str">
            <v>m</v>
          </cell>
          <cell r="F504">
            <v>378.10771999999997</v>
          </cell>
          <cell r="G504">
            <v>378.10771999999997</v>
          </cell>
          <cell r="H504">
            <v>378.10771999999997</v>
          </cell>
          <cell r="I504">
            <v>0</v>
          </cell>
          <cell r="J504">
            <v>384.99892</v>
          </cell>
          <cell r="K504">
            <v>384.99892</v>
          </cell>
          <cell r="L504">
            <v>384.99892</v>
          </cell>
          <cell r="W504">
            <v>1107895</v>
          </cell>
          <cell r="X504" t="str">
            <v>Concreto fck = 25 MPa - confecção em betoneira e lançamento manual - areia extraída e brita produzida</v>
          </cell>
          <cell r="Y504" t="str">
            <v>m³</v>
          </cell>
          <cell r="Z504">
            <v>268.60000000000002</v>
          </cell>
          <cell r="AA504">
            <v>0</v>
          </cell>
          <cell r="BC504" t="str">
            <v>M1675</v>
          </cell>
          <cell r="BD504" t="str">
            <v>Tubo de PVC roscável de 6"</v>
          </cell>
          <cell r="BE504" t="str">
            <v>m</v>
          </cell>
          <cell r="BF504">
            <v>56.46</v>
          </cell>
          <cell r="BG504">
            <v>0</v>
          </cell>
        </row>
        <row r="505">
          <cell r="B505">
            <v>3108015</v>
          </cell>
          <cell r="C505" t="str">
            <v>SICRO</v>
          </cell>
          <cell r="D505" t="str">
            <v>Formas de compensado plastificado 14 mm - uso geral - utilização de 1 vez - confecção, instalação e retirada</v>
          </cell>
          <cell r="E505" t="str">
            <v>m²</v>
          </cell>
          <cell r="F505">
            <v>114.28706218200001</v>
          </cell>
          <cell r="G505">
            <v>114.28706218200001</v>
          </cell>
          <cell r="H505">
            <v>114.28706218200001</v>
          </cell>
          <cell r="I505">
            <v>0</v>
          </cell>
          <cell r="J505">
            <v>108.76166655200001</v>
          </cell>
          <cell r="K505">
            <v>108.76166655200001</v>
          </cell>
          <cell r="L505">
            <v>108.76166655200001</v>
          </cell>
          <cell r="W505">
            <v>4816016</v>
          </cell>
          <cell r="X505" t="str">
            <v>Rachão ou pedra de mão produzida</v>
          </cell>
          <cell r="Y505" t="str">
            <v>m³</v>
          </cell>
          <cell r="Z505">
            <v>25.96</v>
          </cell>
          <cell r="AA505">
            <v>0</v>
          </cell>
          <cell r="BC505">
            <v>1506056</v>
          </cell>
          <cell r="BD505" t="str">
            <v>Pedra argamassada com cimento e areia 1:3 - areia extraída e pedra de mão produzida - confecção e assentamento</v>
          </cell>
          <cell r="BE505" t="str">
            <v>m³</v>
          </cell>
          <cell r="BF505">
            <v>192.66</v>
          </cell>
          <cell r="BG505">
            <v>0</v>
          </cell>
        </row>
        <row r="506">
          <cell r="B506" t="str">
            <v>29.01.01.01.01</v>
          </cell>
          <cell r="C506" t="str">
            <v>DERSA</v>
          </cell>
          <cell r="D506" t="str">
            <v>Forma deslizante metálica auto portante p/ tuneis</v>
          </cell>
          <cell r="E506" t="str">
            <v>m²</v>
          </cell>
          <cell r="F506">
            <v>130.12802794826894</v>
          </cell>
          <cell r="G506">
            <v>130.12802794826894</v>
          </cell>
          <cell r="H506">
            <v>130.12802794826894</v>
          </cell>
          <cell r="J506">
            <v>130.12802794826894</v>
          </cell>
          <cell r="K506">
            <v>130.12802794826894</v>
          </cell>
          <cell r="L506">
            <v>130.12802794826894</v>
          </cell>
          <cell r="W506">
            <v>2009618</v>
          </cell>
          <cell r="X506" t="str">
            <v>Alvenaria de blocos de concreto 20 x 20 x 40 cm com espessura de 20 cm - areia extraída</v>
          </cell>
          <cell r="Y506" t="str">
            <v>m²</v>
          </cell>
          <cell r="Z506">
            <v>87.84</v>
          </cell>
          <cell r="AA506">
            <v>0</v>
          </cell>
          <cell r="BC506">
            <v>6416240</v>
          </cell>
          <cell r="BD506" t="str">
            <v>Usinagem de pré-misturado a quente com asfalto polímero - faixa III - camada porosa de atrito - areia e brita comerciais - Caminhão basculante 10 m³</v>
          </cell>
          <cell r="BE506" t="str">
            <v>t</v>
          </cell>
          <cell r="BF506">
            <v>103.77</v>
          </cell>
          <cell r="BG506">
            <v>0</v>
          </cell>
        </row>
        <row r="507">
          <cell r="B507">
            <v>1107860</v>
          </cell>
          <cell r="C507" t="str">
            <v>SICRO</v>
          </cell>
          <cell r="D507" t="str">
            <v>Lançamento mecânico de concreto com bomba lança sobre chassi com capacidade de 45 m³/h - confecção em central dosadora de 40 m³/h</v>
          </cell>
          <cell r="E507" t="str">
            <v>m³</v>
          </cell>
          <cell r="F507">
            <v>33.596372379518073</v>
          </cell>
          <cell r="G507">
            <v>33.596372379518073</v>
          </cell>
          <cell r="H507">
            <v>33.596372379518073</v>
          </cell>
          <cell r="I507">
            <v>0</v>
          </cell>
          <cell r="J507">
            <v>33.770709578313252</v>
          </cell>
          <cell r="K507">
            <v>33.770709578313252</v>
          </cell>
          <cell r="L507">
            <v>33.770709578313252</v>
          </cell>
          <cell r="W507">
            <v>2003317</v>
          </cell>
          <cell r="X507" t="str">
            <v>Grelha de concreto 53 x 110 cm para boca-de-lobo - areia extraída e brita produzida - sobrecarcarga do trem tipo TB 45</v>
          </cell>
          <cell r="Y507" t="str">
            <v>und</v>
          </cell>
          <cell r="Z507">
            <v>73.099999999999994</v>
          </cell>
          <cell r="AA507">
            <v>0</v>
          </cell>
          <cell r="BC507" t="str">
            <v>E9631</v>
          </cell>
          <cell r="BD507" t="str">
            <v>Bomba para concreto projetado via seca com capacidade de 6 m³/h - 7,5 kW</v>
          </cell>
          <cell r="BE507" t="str">
            <v>h</v>
          </cell>
          <cell r="BF507">
            <v>48.100999999999999</v>
          </cell>
          <cell r="BG507">
            <v>44.660699999999999</v>
          </cell>
        </row>
        <row r="508">
          <cell r="B508">
            <v>1207662</v>
          </cell>
          <cell r="C508" t="str">
            <v>SICRO</v>
          </cell>
          <cell r="D508" t="str">
            <v>Concreto projetado via úmida fck = 30 MPa aplicado em túneis classe V com seção de 40 a 60 m²</v>
          </cell>
          <cell r="E508" t="str">
            <v>m³</v>
          </cell>
          <cell r="F508">
            <v>605.93535714285713</v>
          </cell>
          <cell r="G508">
            <v>605.93535714285713</v>
          </cell>
          <cell r="H508">
            <v>605.93535714285713</v>
          </cell>
          <cell r="I508">
            <v>0</v>
          </cell>
          <cell r="J508">
            <v>612.97958333333327</v>
          </cell>
          <cell r="K508">
            <v>612.97958333333327</v>
          </cell>
          <cell r="L508">
            <v>612.97958333333327</v>
          </cell>
          <cell r="W508">
            <v>6416078</v>
          </cell>
          <cell r="X508" t="str">
            <v>Usinagem de concreto asfáltico - faixa C - areia e brita comerciais</v>
          </cell>
          <cell r="Y508" t="str">
            <v>t</v>
          </cell>
          <cell r="Z508">
            <v>114.97</v>
          </cell>
          <cell r="AA508">
            <v>0</v>
          </cell>
          <cell r="BC508" t="str">
            <v>E9671</v>
          </cell>
          <cell r="BD508" t="str">
            <v>Compressor de ar portátil de 748 PCM - 154 kW</v>
          </cell>
          <cell r="BE508" t="str">
            <v>h</v>
          </cell>
          <cell r="BF508">
            <v>127.3699</v>
          </cell>
          <cell r="BG508">
            <v>27.464700000000001</v>
          </cell>
        </row>
        <row r="509">
          <cell r="B509">
            <v>6219415</v>
          </cell>
          <cell r="C509" t="str">
            <v>SICRO</v>
          </cell>
          <cell r="D509" t="str">
            <v>Escavação subterrânea e carregamento do material da calota em túnel classe IV - DMT de 0 a 200 m - seção de 40 a 60 m²</v>
          </cell>
          <cell r="E509" t="str">
            <v>m³</v>
          </cell>
          <cell r="F509">
            <v>203.75855140266665</v>
          </cell>
          <cell r="G509">
            <v>203.75855140266665</v>
          </cell>
          <cell r="H509">
            <v>203.75855140266665</v>
          </cell>
          <cell r="I509">
            <v>0</v>
          </cell>
          <cell r="J509">
            <v>205.7086299813333</v>
          </cell>
          <cell r="K509">
            <v>205.7086299813333</v>
          </cell>
          <cell r="L509">
            <v>205.7086299813333</v>
          </cell>
          <cell r="W509">
            <v>4816020</v>
          </cell>
          <cell r="X509" t="str">
            <v>Areia extraída com draga de sucção tipo bomba</v>
          </cell>
          <cell r="Y509" t="str">
            <v>m³</v>
          </cell>
          <cell r="Z509">
            <v>14.22</v>
          </cell>
          <cell r="AA509">
            <v>0</v>
          </cell>
          <cell r="BC509">
            <v>1207700</v>
          </cell>
          <cell r="BD509" t="str">
            <v>Concreto fck = 20 MPa para projeção via seca - confecção em betoneira</v>
          </cell>
          <cell r="BE509" t="str">
            <v>m³</v>
          </cell>
          <cell r="BF509">
            <v>367.42</v>
          </cell>
          <cell r="BG509">
            <v>0</v>
          </cell>
        </row>
        <row r="510">
          <cell r="B510">
            <v>150125</v>
          </cell>
          <cell r="C510" t="str">
            <v>SIURB</v>
          </cell>
          <cell r="D510" t="str">
            <v>Pintura antipichação à base de água para concreto aparente</v>
          </cell>
          <cell r="E510" t="str">
            <v>m²</v>
          </cell>
          <cell r="F510">
            <v>42.882670000000005</v>
          </cell>
          <cell r="G510">
            <v>42.882670000000005</v>
          </cell>
          <cell r="H510">
            <v>42.882670000000005</v>
          </cell>
          <cell r="I510">
            <v>0</v>
          </cell>
          <cell r="J510">
            <v>44.008615000000006</v>
          </cell>
          <cell r="K510">
            <v>44.008615000000006</v>
          </cell>
          <cell r="L510">
            <v>44.008615000000006</v>
          </cell>
          <cell r="W510">
            <v>1107929</v>
          </cell>
          <cell r="X510" t="str">
            <v>Concreto fck = 20 MPa - confecção em central dosadora de 30 m³/h - areia extraída e brita produzida</v>
          </cell>
          <cell r="Y510" t="str">
            <v>m³</v>
          </cell>
          <cell r="Z510">
            <v>175.66</v>
          </cell>
          <cell r="AA510">
            <v>0</v>
          </cell>
          <cell r="BC510" t="str">
            <v>E9583</v>
          </cell>
          <cell r="BD510" t="str">
            <v>Distribuidor de agregados rebocável com capacidade de 1,9 m³</v>
          </cell>
          <cell r="BE510" t="str">
            <v>h</v>
          </cell>
          <cell r="BF510">
            <v>5.7659000000000002</v>
          </cell>
          <cell r="BG510">
            <v>3.7067000000000001</v>
          </cell>
        </row>
        <row r="511">
          <cell r="B511">
            <v>6205796</v>
          </cell>
          <cell r="C511" t="str">
            <v>SICRO</v>
          </cell>
          <cell r="D511" t="str">
            <v>Coluna de jet grouting vertical D = 100 cm em solo - perfuração e injeção</v>
          </cell>
          <cell r="E511" t="str">
            <v>lit.</v>
          </cell>
          <cell r="F511">
            <v>635.50733951521738</v>
          </cell>
          <cell r="G511">
            <v>635.50733951521738</v>
          </cell>
          <cell r="H511">
            <v>635.50733951521738</v>
          </cell>
          <cell r="I511">
            <v>0</v>
          </cell>
          <cell r="J511">
            <v>647.11753767173911</v>
          </cell>
          <cell r="K511">
            <v>647.11753767173911</v>
          </cell>
          <cell r="L511">
            <v>647.11753767173911</v>
          </cell>
          <cell r="W511">
            <v>4816019</v>
          </cell>
          <cell r="X511" t="str">
            <v>Areia extraída com escavadeira hidráulica de longo alcance</v>
          </cell>
          <cell r="Y511" t="str">
            <v>m³</v>
          </cell>
          <cell r="Z511">
            <v>5.75</v>
          </cell>
          <cell r="AA511">
            <v>0</v>
          </cell>
          <cell r="BC511" t="str">
            <v>M1944</v>
          </cell>
          <cell r="BD511" t="str">
            <v>Cimento asfáltico CAP 150/200</v>
          </cell>
          <cell r="BE511" t="str">
            <v>t</v>
          </cell>
          <cell r="BF511">
            <v>0</v>
          </cell>
          <cell r="BG511">
            <v>0</v>
          </cell>
        </row>
        <row r="512">
          <cell r="B512">
            <v>6219520</v>
          </cell>
          <cell r="C512" t="str">
            <v>SICRO</v>
          </cell>
          <cell r="D512" t="str">
            <v>Pré-fissuramento em túnel</v>
          </cell>
          <cell r="E512" t="str">
            <v>m²</v>
          </cell>
          <cell r="F512">
            <v>31.937445455555942</v>
          </cell>
          <cell r="G512">
            <v>31.937445455555942</v>
          </cell>
          <cell r="H512">
            <v>31.937445455555942</v>
          </cell>
          <cell r="I512">
            <v>0</v>
          </cell>
          <cell r="J512">
            <v>35.39335501948365</v>
          </cell>
          <cell r="K512">
            <v>35.39335501948365</v>
          </cell>
          <cell r="L512">
            <v>35.39335501948365</v>
          </cell>
          <cell r="W512" t="str">
            <v>M2185</v>
          </cell>
          <cell r="X512" t="str">
            <v>Tubo de concreto armado PA 3 - D = 1,50 m</v>
          </cell>
          <cell r="Y512" t="str">
            <v>m</v>
          </cell>
          <cell r="Z512">
            <v>647.08500000000004</v>
          </cell>
          <cell r="AA512">
            <v>0</v>
          </cell>
          <cell r="BC512" t="str">
            <v>M0028</v>
          </cell>
          <cell r="BD512" t="str">
            <v>Areia média</v>
          </cell>
          <cell r="BE512" t="str">
            <v>m³</v>
          </cell>
          <cell r="BF512">
            <v>73.8489</v>
          </cell>
          <cell r="BG512">
            <v>0</v>
          </cell>
        </row>
        <row r="513">
          <cell r="B513">
            <v>6208126</v>
          </cell>
          <cell r="C513" t="str">
            <v>SICRO</v>
          </cell>
          <cell r="D513" t="str">
            <v>Armação de tela de aço eletrosoldada em túneis com auxílio de plataforma pantográfica - confecção e instalação</v>
          </cell>
          <cell r="E513" t="str">
            <v>m²</v>
          </cell>
          <cell r="F513">
            <v>12.655963330392684</v>
          </cell>
          <cell r="G513">
            <v>12.655963330392684</v>
          </cell>
          <cell r="H513">
            <v>12.655963330392684</v>
          </cell>
          <cell r="I513">
            <v>0</v>
          </cell>
          <cell r="J513">
            <v>13.084739709736418</v>
          </cell>
          <cell r="K513">
            <v>13.084739709736418</v>
          </cell>
          <cell r="L513">
            <v>13.084739709736418</v>
          </cell>
          <cell r="W513">
            <v>2003849</v>
          </cell>
          <cell r="X513" t="str">
            <v>Lastro de brita produzida</v>
          </cell>
          <cell r="Y513" t="str">
            <v>m³</v>
          </cell>
          <cell r="Z513">
            <v>53.97</v>
          </cell>
          <cell r="AA513">
            <v>0</v>
          </cell>
          <cell r="BC513" t="str">
            <v>E9688</v>
          </cell>
          <cell r="BD513" t="str">
            <v>Usina móvel de lama asfáltica montada sobre chassi com capacidade de 5 m³ - 25 kW/188 kW</v>
          </cell>
          <cell r="BE513" t="str">
            <v>h</v>
          </cell>
          <cell r="BF513">
            <v>259.80290000000002</v>
          </cell>
          <cell r="BG513">
            <v>114.41200000000001</v>
          </cell>
        </row>
        <row r="514">
          <cell r="B514">
            <v>2003593</v>
          </cell>
          <cell r="C514" t="str">
            <v>SICRO</v>
          </cell>
          <cell r="D514" t="str">
            <v>Dreno longitudinal profundo para corte em rocha - DPR 03 - brita comercial</v>
          </cell>
          <cell r="E514" t="str">
            <v>m</v>
          </cell>
          <cell r="F514">
            <v>94.221900000000005</v>
          </cell>
          <cell r="G514">
            <v>94.221900000000005</v>
          </cell>
          <cell r="H514">
            <v>94.221900000000005</v>
          </cell>
          <cell r="I514">
            <v>0</v>
          </cell>
          <cell r="J514">
            <v>100.58220400000002</v>
          </cell>
          <cell r="K514">
            <v>100.58220400000002</v>
          </cell>
          <cell r="L514">
            <v>100.58220400000002</v>
          </cell>
          <cell r="W514">
            <v>6817754</v>
          </cell>
          <cell r="X514" t="str">
            <v>Confecção de BSCC - seção 1,5 x 1,5 m fechada - tipo I - areia extraída e brita produzida</v>
          </cell>
          <cell r="Y514" t="str">
            <v>m</v>
          </cell>
          <cell r="Z514">
            <v>775.14</v>
          </cell>
          <cell r="AA514">
            <v>0</v>
          </cell>
          <cell r="BC514" t="str">
            <v>M1949</v>
          </cell>
          <cell r="BD514" t="str">
            <v>Emulsão asfáltica RL-1C</v>
          </cell>
          <cell r="BE514" t="str">
            <v>t</v>
          </cell>
          <cell r="BF514">
            <v>0</v>
          </cell>
          <cell r="BG514">
            <v>0</v>
          </cell>
        </row>
        <row r="515">
          <cell r="B515">
            <v>2005764</v>
          </cell>
          <cell r="C515" t="str">
            <v>SICRO</v>
          </cell>
          <cell r="D515" t="str">
            <v>Perfuração para dreno sub-horizontal em material de 2ª categoria com D = 75 mm (linha NW)</v>
          </cell>
          <cell r="E515" t="str">
            <v>m</v>
          </cell>
          <cell r="F515">
            <v>34.97117523780723</v>
          </cell>
          <cell r="G515">
            <v>34.97117523780723</v>
          </cell>
          <cell r="H515">
            <v>34.97117523780723</v>
          </cell>
          <cell r="I515">
            <v>0</v>
          </cell>
          <cell r="J515">
            <v>35.293323720449806</v>
          </cell>
          <cell r="K515">
            <v>35.293323720449806</v>
          </cell>
          <cell r="L515">
            <v>35.293323720449806</v>
          </cell>
          <cell r="W515">
            <v>6416247</v>
          </cell>
          <cell r="X515" t="str">
            <v>Usinagem de concreto asfáltico com asfalto polímero - faixa C - areia extraída e brita produzida</v>
          </cell>
          <cell r="Y515" t="str">
            <v>t</v>
          </cell>
          <cell r="Z515">
            <v>84.22</v>
          </cell>
          <cell r="AA515">
            <v>0</v>
          </cell>
          <cell r="BC515">
            <v>5213416</v>
          </cell>
          <cell r="BD515" t="str">
            <v>Confecção de placa em aço nº 16 galvanizado, com película tipo I + I</v>
          </cell>
          <cell r="BE515" t="str">
            <v>m²</v>
          </cell>
          <cell r="BF515">
            <v>270.29000000000002</v>
          </cell>
          <cell r="BG515">
            <v>0</v>
          </cell>
        </row>
        <row r="516">
          <cell r="B516">
            <v>6219516</v>
          </cell>
          <cell r="C516" t="str">
            <v>SICRO</v>
          </cell>
          <cell r="D516" t="str">
            <v>Enfilagem tubular injetada em aço SCH 40 D = 65 mm em túnel classe V</v>
          </cell>
          <cell r="E516" t="str">
            <v>m</v>
          </cell>
          <cell r="F516">
            <v>150.19444236859036</v>
          </cell>
          <cell r="G516">
            <v>150.19444236859036</v>
          </cell>
          <cell r="H516">
            <v>150.19444236859036</v>
          </cell>
          <cell r="I516">
            <v>0</v>
          </cell>
          <cell r="J516">
            <v>152.11402803226508</v>
          </cell>
          <cell r="K516">
            <v>152.11402803226508</v>
          </cell>
          <cell r="L516">
            <v>152.11402803226508</v>
          </cell>
          <cell r="W516">
            <v>6416091</v>
          </cell>
          <cell r="X516" t="str">
            <v>Usinagem para sub-base de concreto compactado com rolo - brita produzida</v>
          </cell>
          <cell r="Y516" t="str">
            <v>m³</v>
          </cell>
          <cell r="Z516">
            <v>98.57</v>
          </cell>
          <cell r="AA516">
            <v>0</v>
          </cell>
          <cell r="BC516" t="str">
            <v>E9127</v>
          </cell>
          <cell r="BD516" t="str">
            <v>Escavadeira hidráulica com martelo hidráulico de 500 kg - 103 kW</v>
          </cell>
          <cell r="BE516" t="str">
            <v>h</v>
          </cell>
          <cell r="BF516">
            <v>278.19110000000001</v>
          </cell>
          <cell r="BG516">
            <v>124.3085</v>
          </cell>
        </row>
        <row r="517">
          <cell r="B517">
            <v>6205797</v>
          </cell>
          <cell r="C517" t="str">
            <v>SICRO</v>
          </cell>
          <cell r="D517" t="str">
            <v>Cambotas metálicas treliçadas - confecção e instalação</v>
          </cell>
          <cell r="E517" t="str">
            <v>kg</v>
          </cell>
          <cell r="F517">
            <v>8.199160903614457</v>
          </cell>
          <cell r="G517">
            <v>8.199160903614457</v>
          </cell>
          <cell r="H517">
            <v>8.199160903614457</v>
          </cell>
          <cell r="I517">
            <v>0</v>
          </cell>
          <cell r="J517">
            <v>8.3901168493975895</v>
          </cell>
          <cell r="K517">
            <v>8.3901168493975895</v>
          </cell>
          <cell r="L517">
            <v>8.3901168493975895</v>
          </cell>
          <cell r="W517">
            <v>6416089</v>
          </cell>
          <cell r="X517" t="str">
            <v>Usinagem para pavimento de concreto com formas deslizantes com - extraída e brita produzida</v>
          </cell>
          <cell r="Y517" t="str">
            <v>m³</v>
          </cell>
          <cell r="Z517">
            <v>184.84</v>
          </cell>
          <cell r="AA517">
            <v>0</v>
          </cell>
          <cell r="BC517">
            <v>1416201</v>
          </cell>
          <cell r="BD517" t="str">
            <v>Corte de barras de aço CA-50 com maçarico oxiacetileno</v>
          </cell>
          <cell r="BE517" t="str">
            <v>cm²</v>
          </cell>
          <cell r="BF517">
            <v>0.61</v>
          </cell>
          <cell r="BG517">
            <v>0</v>
          </cell>
        </row>
        <row r="518">
          <cell r="B518" t="str">
            <v>29.88.06.17.01</v>
          </cell>
          <cell r="C518" t="str">
            <v>SICRO</v>
          </cell>
          <cell r="D518" t="str">
            <v>Chumbador de barra de aço st85/105 ø32 mm provisório carga adm estrutural 41 tf</v>
          </cell>
          <cell r="E518" t="str">
            <v>m</v>
          </cell>
          <cell r="F518">
            <v>486.71212500000001</v>
          </cell>
          <cell r="G518">
            <v>486.71212500000001</v>
          </cell>
          <cell r="H518">
            <v>486.71212500000001</v>
          </cell>
          <cell r="J518">
            <v>486.71212500000001</v>
          </cell>
          <cell r="K518">
            <v>486.71212500000001</v>
          </cell>
          <cell r="L518">
            <v>486.71212500000001</v>
          </cell>
          <cell r="W518">
            <v>6416184</v>
          </cell>
          <cell r="X518" t="str">
            <v>Usinagem de solo brita (70% - 30%) com 3% cimento - material de jazida e brita produzida</v>
          </cell>
          <cell r="Y518" t="str">
            <v>m³</v>
          </cell>
          <cell r="Z518">
            <v>48.21</v>
          </cell>
          <cell r="AA518">
            <v>0</v>
          </cell>
          <cell r="BC518" t="str">
            <v>M2093</v>
          </cell>
          <cell r="BD518" t="str">
            <v>Material fresado</v>
          </cell>
          <cell r="BE518" t="str">
            <v>m³</v>
          </cell>
          <cell r="BF518">
            <v>0</v>
          </cell>
          <cell r="BG518">
            <v>0</v>
          </cell>
        </row>
        <row r="519">
          <cell r="B519" t="str">
            <v>29.88.24.07.10</v>
          </cell>
          <cell r="C519" t="str">
            <v>DERSA</v>
          </cell>
          <cell r="D519" t="str">
            <v>Aterro de proteção sobre invert para túnel</v>
          </cell>
          <cell r="E519" t="str">
            <v>m³</v>
          </cell>
          <cell r="F519">
            <v>25.205817645123886</v>
          </cell>
          <cell r="G519">
            <v>25.205817645123886</v>
          </cell>
          <cell r="H519">
            <v>25.205817645123886</v>
          </cell>
          <cell r="J519">
            <v>25.205817645123886</v>
          </cell>
          <cell r="K519">
            <v>25.205817645123886</v>
          </cell>
          <cell r="L519">
            <v>25.205817645123886</v>
          </cell>
          <cell r="W519" t="str">
            <v>M2517</v>
          </cell>
          <cell r="X519" t="str">
            <v>Tunnel liner de chapa galvanizada - E = 3,4 mm e D = 4,6 m</v>
          </cell>
          <cell r="Y519" t="str">
            <v>m</v>
          </cell>
          <cell r="Z519">
            <v>8818.9074999999993</v>
          </cell>
          <cell r="AA519">
            <v>0</v>
          </cell>
          <cell r="BC519">
            <v>1506055</v>
          </cell>
          <cell r="BD519" t="str">
            <v>Pedra argamassada com cimento e areia 1:3 - areia e pedra de mão comercial - fornecimento e assentamento</v>
          </cell>
          <cell r="BE519" t="str">
            <v>m³</v>
          </cell>
          <cell r="BF519">
            <v>260.14</v>
          </cell>
          <cell r="BG519">
            <v>0</v>
          </cell>
        </row>
        <row r="520">
          <cell r="B520" t="str">
            <v>29.88.30.01.10</v>
          </cell>
          <cell r="C520" t="str">
            <v>DERSA</v>
          </cell>
          <cell r="D520" t="str">
            <v>Remoção de aterro de proteção sobre invert</v>
          </cell>
          <cell r="E520" t="str">
            <v>m³</v>
          </cell>
          <cell r="F520">
            <v>66.541229263790612</v>
          </cell>
          <cell r="G520">
            <v>66.541229263790612</v>
          </cell>
          <cell r="H520">
            <v>66.541229263790612</v>
          </cell>
          <cell r="J520">
            <v>66.541229263790612</v>
          </cell>
          <cell r="K520">
            <v>66.541229263790612</v>
          </cell>
          <cell r="L520">
            <v>66.541229263790612</v>
          </cell>
          <cell r="W520">
            <v>4816001</v>
          </cell>
          <cell r="X520" t="str">
            <v xml:space="preserve">Escavação manual de tunnel liner em material de 2ª categoria </v>
          </cell>
          <cell r="Y520" t="str">
            <v>m³</v>
          </cell>
          <cell r="Z520">
            <v>767.62</v>
          </cell>
          <cell r="AA520">
            <v>0</v>
          </cell>
          <cell r="BC520" t="str">
            <v>M0867</v>
          </cell>
          <cell r="BD520" t="str">
            <v>Pórtico metálico para vão de 18,1 m e vento de 45 m/s</v>
          </cell>
          <cell r="BE520" t="str">
            <v>un</v>
          </cell>
          <cell r="BF520">
            <v>46288.411599999999</v>
          </cell>
          <cell r="BG520">
            <v>0</v>
          </cell>
        </row>
        <row r="521">
          <cell r="B521">
            <v>5502966</v>
          </cell>
          <cell r="C521" t="str">
            <v>SICRO</v>
          </cell>
          <cell r="D521" t="str">
            <v>Escavação em material de 3ª categoria - resistência a compressão de 90 a 110 MPa - com escavadeira e rompedor hidráulico 1.700 kg</v>
          </cell>
          <cell r="E521" t="str">
            <v>m³</v>
          </cell>
          <cell r="F521">
            <v>40.042554802259886</v>
          </cell>
          <cell r="G521">
            <v>40.042554802259886</v>
          </cell>
          <cell r="H521">
            <v>40.042554802259886</v>
          </cell>
          <cell r="I521">
            <v>0</v>
          </cell>
          <cell r="J521">
            <v>40.369627118644075</v>
          </cell>
          <cell r="K521">
            <v>40.369627118644075</v>
          </cell>
          <cell r="L521">
            <v>40.369627118644075</v>
          </cell>
          <cell r="W521">
            <v>5914389</v>
          </cell>
          <cell r="X521" t="str">
            <v>Transporte com caminhão basculante de 10 m³ - rodovia pavimentada</v>
          </cell>
          <cell r="Y521" t="str">
            <v>tkm</v>
          </cell>
          <cell r="Z521">
            <v>0.45</v>
          </cell>
          <cell r="AA521">
            <v>0</v>
          </cell>
          <cell r="BC521">
            <v>5405970</v>
          </cell>
          <cell r="BD521" t="str">
            <v>Fabricação de escama de concreto armado para solo reforçado com fita metálica - 2 a 5 chumbadores - areia e brita comerciais</v>
          </cell>
          <cell r="BE521" t="str">
            <v>m³</v>
          </cell>
          <cell r="BF521">
            <v>910.39</v>
          </cell>
          <cell r="BG521">
            <v>0</v>
          </cell>
        </row>
        <row r="522">
          <cell r="B522">
            <v>1600436</v>
          </cell>
          <cell r="C522" t="str">
            <v>SICRO</v>
          </cell>
          <cell r="D522" t="str">
            <v>Demolição de concreto simples</v>
          </cell>
          <cell r="E522" t="str">
            <v>m³</v>
          </cell>
          <cell r="F522">
            <v>437.78968749999996</v>
          </cell>
          <cell r="G522">
            <v>437.78968749999996</v>
          </cell>
          <cell r="H522">
            <v>437.78968749999996</v>
          </cell>
          <cell r="I522">
            <v>0</v>
          </cell>
          <cell r="J522">
            <v>450.50681250000002</v>
          </cell>
          <cell r="K522">
            <v>450.50681250000002</v>
          </cell>
          <cell r="L522">
            <v>450.50681250000002</v>
          </cell>
          <cell r="W522">
            <v>5914479</v>
          </cell>
          <cell r="X522" t="str">
            <v>Transporte com caminhão carroceria de 15 t - rodovia pavimentada</v>
          </cell>
          <cell r="Y522" t="str">
            <v>tkm</v>
          </cell>
          <cell r="Z522">
            <v>0.45</v>
          </cell>
          <cell r="AA522">
            <v>0</v>
          </cell>
          <cell r="BC522" t="str">
            <v>M0866</v>
          </cell>
          <cell r="BD522" t="str">
            <v>Pórtico metálico para vão de 17,0 m e vento de 45 m/s</v>
          </cell>
          <cell r="BE522" t="str">
            <v xml:space="preserve">un </v>
          </cell>
          <cell r="BF522">
            <v>45386.237999999998</v>
          </cell>
          <cell r="BG522">
            <v>0</v>
          </cell>
        </row>
        <row r="523">
          <cell r="B523">
            <v>6219433</v>
          </cell>
          <cell r="C523" t="str">
            <v>SICRO</v>
          </cell>
          <cell r="D523" t="str">
            <v>Pregagem da frente com vergalhão de fibra de vidro D = 25 mm com perfuração em D = 75 mm e injeção de calda de cimento - exceto perfuração</v>
          </cell>
          <cell r="E523" t="str">
            <v>m</v>
          </cell>
          <cell r="F523">
            <v>50.91948703430522</v>
          </cell>
          <cell r="G523">
            <v>50.91948703430522</v>
          </cell>
          <cell r="H523">
            <v>50.91948703430522</v>
          </cell>
          <cell r="I523">
            <v>0</v>
          </cell>
          <cell r="J523">
            <v>52.062473605763053</v>
          </cell>
          <cell r="K523">
            <v>52.062473605763053</v>
          </cell>
          <cell r="L523">
            <v>52.062473605763053</v>
          </cell>
          <cell r="W523">
            <v>5914614</v>
          </cell>
          <cell r="X523" t="str">
            <v>Transporte com caminhão carroceria com guindauto de 20 t.m - rodovia pavimentada</v>
          </cell>
          <cell r="Y523" t="str">
            <v>tkm</v>
          </cell>
          <cell r="Z523">
            <v>1.02</v>
          </cell>
          <cell r="AA523">
            <v>0</v>
          </cell>
          <cell r="BC523" t="str">
            <v>M0865</v>
          </cell>
          <cell r="BD523" t="str">
            <v>Pórtico metálico para vão de 15,9 m e vento de 45 m/s</v>
          </cell>
          <cell r="BE523" t="str">
            <v>un</v>
          </cell>
          <cell r="BF523">
            <v>42624.842799999999</v>
          </cell>
          <cell r="BG523">
            <v>0</v>
          </cell>
        </row>
        <row r="524">
          <cell r="B524">
            <v>6219526</v>
          </cell>
          <cell r="C524" t="str">
            <v>SICRO</v>
          </cell>
          <cell r="D524" t="str">
            <v>Dreno filtrante em tubos de PVC D = 40 mm aplicado em paredes e tetos de túnel - fornecimento e instalação</v>
          </cell>
          <cell r="E524" t="str">
            <v>m</v>
          </cell>
          <cell r="F524">
            <v>37.141549809995986</v>
          </cell>
          <cell r="G524">
            <v>37.141549809995986</v>
          </cell>
          <cell r="H524">
            <v>37.141549809995986</v>
          </cell>
          <cell r="I524">
            <v>0</v>
          </cell>
          <cell r="J524">
            <v>39.198115329983942</v>
          </cell>
          <cell r="K524">
            <v>39.198115329983942</v>
          </cell>
          <cell r="L524">
            <v>39.198115329983942</v>
          </cell>
          <cell r="W524">
            <v>5914637</v>
          </cell>
          <cell r="X524" t="str">
            <v>Transporte com cavalo mecânico de 22 t - rodovia pavimentada</v>
          </cell>
          <cell r="Y524" t="str">
            <v>tkm</v>
          </cell>
          <cell r="Z524">
            <v>0.44</v>
          </cell>
          <cell r="AA524">
            <v>0</v>
          </cell>
          <cell r="BC524" t="str">
            <v>M0848</v>
          </cell>
          <cell r="BD524" t="str">
            <v>Semi-pórtico metálico para vão de 8,3 m e vento de 45 m/s - Guindauto 20 t.m</v>
          </cell>
          <cell r="BE524" t="str">
            <v>un</v>
          </cell>
          <cell r="BF524">
            <v>28535.703000000001</v>
          </cell>
          <cell r="BG524">
            <v>0</v>
          </cell>
        </row>
        <row r="525">
          <cell r="B525">
            <v>5213472</v>
          </cell>
          <cell r="C525" t="str">
            <v>SICRO</v>
          </cell>
          <cell r="D525" t="str">
            <v>Fornecimento e implantação de placa de marco quilométrico em aço - 0,60 x 0,865 m - película retrorrefletiva tipo I + I</v>
          </cell>
          <cell r="E525" t="str">
            <v>un</v>
          </cell>
          <cell r="F525">
            <v>183.20661640000003</v>
          </cell>
          <cell r="G525">
            <v>183.20661640000003</v>
          </cell>
          <cell r="H525">
            <v>183.20661640000003</v>
          </cell>
          <cell r="I525">
            <v>0</v>
          </cell>
          <cell r="J525">
            <v>181.93222813333333</v>
          </cell>
          <cell r="K525">
            <v>181.93222813333333</v>
          </cell>
          <cell r="L525">
            <v>181.93222813333333</v>
          </cell>
          <cell r="W525">
            <v>5914569</v>
          </cell>
          <cell r="X525" t="str">
            <v>Transporte com caminhão betoneira - rodovia pavimentada</v>
          </cell>
          <cell r="Y525" t="str">
            <v>tkm</v>
          </cell>
          <cell r="Z525">
            <v>0.38</v>
          </cell>
          <cell r="AA525">
            <v>0</v>
          </cell>
          <cell r="BC525" t="str">
            <v>M0874</v>
          </cell>
          <cell r="BD525" t="str">
            <v>Pórtico metálico para vão de 24,8 m e vento de 45 m/s</v>
          </cell>
          <cell r="BE525" t="str">
            <v>un</v>
          </cell>
          <cell r="BF525">
            <v>59255.6927</v>
          </cell>
          <cell r="BG525">
            <v>0</v>
          </cell>
        </row>
        <row r="526">
          <cell r="B526">
            <v>1619003</v>
          </cell>
          <cell r="C526" t="str">
            <v>SICRO</v>
          </cell>
          <cell r="D526" t="str">
            <v>Demolição mecânica de concreto armado, com escavadeira hidráulica com martelo hidráulico - sem reaproveitamento</v>
          </cell>
          <cell r="E526" t="str">
            <v>m³</v>
          </cell>
          <cell r="F526">
            <v>89.445985324947586</v>
          </cell>
          <cell r="G526">
            <v>89.445985324947586</v>
          </cell>
          <cell r="H526">
            <v>89.445985324947586</v>
          </cell>
          <cell r="I526">
            <v>0</v>
          </cell>
          <cell r="J526">
            <v>90.544769392033558</v>
          </cell>
          <cell r="K526">
            <v>90.544769392033558</v>
          </cell>
          <cell r="L526">
            <v>90.544769392033558</v>
          </cell>
          <cell r="W526">
            <v>5914345</v>
          </cell>
          <cell r="X526" t="str">
            <v>Transporte de concreto com caminhão basculante de 7 m³ - rodovia pavimentada</v>
          </cell>
          <cell r="Y526" t="str">
            <v>tkm</v>
          </cell>
          <cell r="Z526">
            <v>0.4</v>
          </cell>
          <cell r="AA526">
            <v>0</v>
          </cell>
          <cell r="BC526" t="str">
            <v>M1977</v>
          </cell>
          <cell r="BD526" t="str">
            <v>Terminal de ancoragem de defensa metálica em barreira New Jersey (tipo D - NBR 6.971)</v>
          </cell>
          <cell r="BE526" t="str">
            <v>un</v>
          </cell>
          <cell r="BF526">
            <v>213</v>
          </cell>
          <cell r="BG526">
            <v>0</v>
          </cell>
        </row>
        <row r="527">
          <cell r="B527" t="str">
            <v>CPU15</v>
          </cell>
          <cell r="C527">
            <v>0</v>
          </cell>
          <cell r="D527" t="str">
            <v>TERMINAL ABATIDO</v>
          </cell>
          <cell r="E527" t="str">
            <v>un</v>
          </cell>
          <cell r="F527">
            <v>8626.8000000000011</v>
          </cell>
          <cell r="G527">
            <v>8626.8000000000011</v>
          </cell>
          <cell r="H527">
            <v>8626.8000000000011</v>
          </cell>
          <cell r="J527">
            <v>8626.8000000000011</v>
          </cell>
          <cell r="K527">
            <v>8626.8000000000011</v>
          </cell>
          <cell r="L527">
            <v>8626.8000000000011</v>
          </cell>
          <cell r="W527">
            <v>5914344</v>
          </cell>
          <cell r="X527" t="str">
            <v>Transporte com caminhão basculante de 6 m³ - rodovia pavimentada</v>
          </cell>
          <cell r="Y527" t="str">
            <v>tkm</v>
          </cell>
          <cell r="Z527">
            <v>0.6</v>
          </cell>
          <cell r="AA527">
            <v>0</v>
          </cell>
          <cell r="BC527">
            <v>3807864</v>
          </cell>
          <cell r="BD527" t="str">
            <v>Chumbador para concreto D = 16 mm tipo tecbolt - fornecimento e instalação</v>
          </cell>
          <cell r="BE527" t="str">
            <v>un</v>
          </cell>
          <cell r="BF527">
            <v>13.26</v>
          </cell>
          <cell r="BG527">
            <v>0</v>
          </cell>
        </row>
        <row r="528">
          <cell r="B528">
            <v>3713703</v>
          </cell>
          <cell r="C528" t="str">
            <v>SICRO</v>
          </cell>
          <cell r="D528" t="str">
            <v>Cartucho de absorção de energia tipo A - fornecimento e reposicionamento do amortecedor retrátil</v>
          </cell>
          <cell r="E528" t="str">
            <v>un</v>
          </cell>
          <cell r="F528">
            <v>2186.9944202000001</v>
          </cell>
          <cell r="G528">
            <v>2186.9944202000001</v>
          </cell>
          <cell r="H528">
            <v>2186.9944202000001</v>
          </cell>
          <cell r="I528">
            <v>0</v>
          </cell>
          <cell r="J528">
            <v>2192.8078261999999</v>
          </cell>
          <cell r="K528">
            <v>2192.8078261999999</v>
          </cell>
          <cell r="L528">
            <v>2192.8078261999999</v>
          </cell>
          <cell r="W528">
            <v>6416221</v>
          </cell>
          <cell r="X528" t="str">
            <v>Usinagem de pré-misturado a frio - faixa C - areia extraída e brita produzida</v>
          </cell>
          <cell r="Y528" t="str">
            <v>m³</v>
          </cell>
          <cell r="Z528">
            <v>100.73</v>
          </cell>
          <cell r="AA528">
            <v>0</v>
          </cell>
          <cell r="BC528" t="str">
            <v>M0745</v>
          </cell>
          <cell r="BD528" t="str">
            <v>Grampo para cerca galvanizado de 1 x 9"</v>
          </cell>
          <cell r="BE528" t="str">
            <v>kg</v>
          </cell>
          <cell r="BF528">
            <v>4.2728000000000002</v>
          </cell>
          <cell r="BG528">
            <v>0</v>
          </cell>
        </row>
        <row r="529">
          <cell r="B529">
            <v>3713704</v>
          </cell>
          <cell r="C529" t="str">
            <v>SICRO</v>
          </cell>
          <cell r="D529" t="str">
            <v>Cartucho de absorção de energia tipo B - fornecimento e reposicionamento do amortecedor retrátil</v>
          </cell>
          <cell r="E529" t="str">
            <v>un</v>
          </cell>
          <cell r="F529">
            <v>2076.6644202000002</v>
          </cell>
          <cell r="G529">
            <v>2076.6644202000002</v>
          </cell>
          <cell r="H529">
            <v>2076.6644202000002</v>
          </cell>
          <cell r="I529">
            <v>0</v>
          </cell>
          <cell r="J529">
            <v>2082.4778262</v>
          </cell>
          <cell r="K529">
            <v>2082.4778262</v>
          </cell>
          <cell r="L529">
            <v>2082.4778262</v>
          </cell>
          <cell r="W529">
            <v>5914650</v>
          </cell>
          <cell r="X529" t="str">
            <v>Usinagem de pré-misturado a frio - faixa C - areia extraída e brita produzida - Caminhão basculante 10 m³</v>
          </cell>
          <cell r="Y529" t="str">
            <v>t</v>
          </cell>
          <cell r="Z529">
            <v>7.75</v>
          </cell>
          <cell r="AA529">
            <v>0</v>
          </cell>
          <cell r="BC529" t="str">
            <v>M1638</v>
          </cell>
          <cell r="BD529" t="str">
            <v>Mourão de madeira - H = 2,10 m e D = 10 cm</v>
          </cell>
          <cell r="BE529" t="str">
            <v>un</v>
          </cell>
          <cell r="BF529">
            <v>14.341100000000001</v>
          </cell>
          <cell r="BG529">
            <v>0</v>
          </cell>
        </row>
        <row r="530">
          <cell r="B530">
            <v>4011479</v>
          </cell>
          <cell r="C530" t="str">
            <v>SICRO</v>
          </cell>
          <cell r="D530" t="str">
            <v>Fresagem contínua de revestimento betuminoso</v>
          </cell>
          <cell r="E530" t="str">
            <v>m³</v>
          </cell>
          <cell r="F530">
            <v>34.752300703984716</v>
          </cell>
          <cell r="G530">
            <v>34.752300703984716</v>
          </cell>
          <cell r="H530">
            <v>34.752300703984716</v>
          </cell>
          <cell r="I530">
            <v>0</v>
          </cell>
          <cell r="J530">
            <v>34.975216087399616</v>
          </cell>
          <cell r="K530">
            <v>34.975216087399616</v>
          </cell>
          <cell r="L530">
            <v>34.975216087399616</v>
          </cell>
          <cell r="W530">
            <v>5405971</v>
          </cell>
          <cell r="X530" t="str">
            <v xml:space="preserve">Fabricação de escama de concreto armado para solo reforçado com fita metálica - 6 a 8 chumbadores - areia e brita comerciais </v>
          </cell>
          <cell r="Y530" t="str">
            <v>m³</v>
          </cell>
          <cell r="Z530">
            <v>1078.6099999999999</v>
          </cell>
          <cell r="AA530">
            <v>0</v>
          </cell>
          <cell r="BC530" t="str">
            <v>M1639</v>
          </cell>
          <cell r="BD530" t="str">
            <v>Mourão de madeira - H = 2,20 m e D = 15 cm</v>
          </cell>
          <cell r="BE530" t="str">
            <v>un</v>
          </cell>
          <cell r="BF530">
            <v>37.503599999999999</v>
          </cell>
          <cell r="BG530">
            <v>0</v>
          </cell>
        </row>
        <row r="531">
          <cell r="B531">
            <v>1505923</v>
          </cell>
          <cell r="C531" t="str">
            <v>SICRO</v>
          </cell>
          <cell r="D531" t="str">
            <v>Muro de arrimo em pedra argamassada - areia e pedra de mão comercial - fornecimento e assentamento</v>
          </cell>
          <cell r="E531" t="str">
            <v>m³</v>
          </cell>
          <cell r="F531">
            <v>288.79719999999998</v>
          </cell>
          <cell r="G531">
            <v>288.79719999999998</v>
          </cell>
          <cell r="H531">
            <v>288.79719999999998</v>
          </cell>
          <cell r="I531">
            <v>0</v>
          </cell>
          <cell r="J531">
            <v>311.23478</v>
          </cell>
          <cell r="K531">
            <v>311.23478</v>
          </cell>
          <cell r="L531">
            <v>311.23478</v>
          </cell>
          <cell r="W531">
            <v>5405976</v>
          </cell>
          <cell r="X531" t="str">
            <v>Montagem das escamas de concreto armado em solo reforçado com fita metálica</v>
          </cell>
          <cell r="Y531" t="str">
            <v>m²</v>
          </cell>
          <cell r="Z531">
            <v>136.21</v>
          </cell>
          <cell r="AA531">
            <v>0</v>
          </cell>
          <cell r="BC531" t="str">
            <v>M2014</v>
          </cell>
          <cell r="BD531" t="str">
            <v xml:space="preserve">Mourão de madeira - H = 2,20 m e D = 10 cm </v>
          </cell>
          <cell r="BE531" t="str">
            <v>un</v>
          </cell>
          <cell r="BF531">
            <v>16.2</v>
          </cell>
          <cell r="BG531">
            <v>0</v>
          </cell>
        </row>
        <row r="532">
          <cell r="B532">
            <v>5213872</v>
          </cell>
          <cell r="C532" t="str">
            <v>SICRO</v>
          </cell>
          <cell r="D532" t="str">
            <v>Fornecimento e implantação de suporte metálico galvanizado para placas - 4,00 x 3,00 m</v>
          </cell>
          <cell r="E532" t="str">
            <v>un</v>
          </cell>
          <cell r="F532">
            <v>2384.6473553053333</v>
          </cell>
          <cell r="G532">
            <v>2384.6473553053333</v>
          </cell>
          <cell r="H532">
            <v>2384.6473553053333</v>
          </cell>
          <cell r="I532">
            <v>0</v>
          </cell>
          <cell r="J532">
            <v>2434.1540692386666</v>
          </cell>
          <cell r="K532">
            <v>2434.1540692386666</v>
          </cell>
          <cell r="L532">
            <v>2434.1540692386666</v>
          </cell>
          <cell r="W532" t="str">
            <v>M0068</v>
          </cell>
          <cell r="X532" t="str">
            <v>Caibro de pinho de 7,5 x 10 cm</v>
          </cell>
          <cell r="Y532" t="str">
            <v>m</v>
          </cell>
          <cell r="Z532">
            <v>25.846499999999999</v>
          </cell>
          <cell r="AA532">
            <v>0</v>
          </cell>
          <cell r="BC532" t="str">
            <v>M2119</v>
          </cell>
          <cell r="BD532" t="str">
            <v>Mourão de madeira - H = 2,80 m e D = 15 cm</v>
          </cell>
          <cell r="BE532" t="str">
            <v>un</v>
          </cell>
          <cell r="BF532">
            <v>48</v>
          </cell>
          <cell r="BG532">
            <v>0</v>
          </cell>
        </row>
        <row r="533">
          <cell r="B533">
            <v>5213801</v>
          </cell>
          <cell r="C533" t="str">
            <v>SICRO</v>
          </cell>
          <cell r="D533" t="str">
            <v>Pórtico metálico com vão de 18,1 m, vento de 45 m/s, área de exposição de até 27,15 m², tensão admissível solo &gt;200 kN/m² -areia extraída e brita produzida</v>
          </cell>
          <cell r="E533" t="str">
            <v>un</v>
          </cell>
          <cell r="F533">
            <v>59115.036752399996</v>
          </cell>
          <cell r="G533">
            <v>59115.036752399996</v>
          </cell>
          <cell r="H533">
            <v>59115.036752399996</v>
          </cell>
          <cell r="I533">
            <v>0</v>
          </cell>
          <cell r="J533">
            <v>59171.764461400002</v>
          </cell>
          <cell r="K533">
            <v>59171.764461400002</v>
          </cell>
          <cell r="L533">
            <v>59171.764461400002</v>
          </cell>
          <cell r="W533" t="str">
            <v>M0289</v>
          </cell>
          <cell r="X533" t="str">
            <v>Tábua de 2,5 x 15 cm</v>
          </cell>
          <cell r="Y533" t="str">
            <v>m</v>
          </cell>
          <cell r="Z533">
            <v>2.75</v>
          </cell>
          <cell r="AA533">
            <v>0</v>
          </cell>
          <cell r="BC533" t="str">
            <v>E9798</v>
          </cell>
          <cell r="BD533" t="str">
            <v>Perfuratriz hidráulica rotopercussiva - 123 kW</v>
          </cell>
          <cell r="BE533" t="str">
            <v>h</v>
          </cell>
          <cell r="BF533">
            <v>273.64049999999997</v>
          </cell>
          <cell r="BG533">
            <v>130.8143</v>
          </cell>
        </row>
        <row r="534">
          <cell r="B534">
            <v>5915407</v>
          </cell>
          <cell r="C534" t="str">
            <v>SICRO</v>
          </cell>
          <cell r="D534" t="str">
            <v>Carga, manobra e descarga de areia, brita, pedra de mão ou solos em caminhão basculante de 10 m³ - carga com carregadeira e descarga livre</v>
          </cell>
          <cell r="E534" t="str">
            <v>t</v>
          </cell>
          <cell r="F534">
            <v>1.6993770350671593</v>
          </cell>
          <cell r="G534">
            <v>1.6993770350671593</v>
          </cell>
          <cell r="H534">
            <v>1.6993770350671593</v>
          </cell>
          <cell r="I534">
            <v>0</v>
          </cell>
          <cell r="J534">
            <v>1.7116398179031822</v>
          </cell>
          <cell r="K534">
            <v>1.7116398179031822</v>
          </cell>
          <cell r="L534">
            <v>1.7116398179031822</v>
          </cell>
          <cell r="W534">
            <v>6817814</v>
          </cell>
          <cell r="X534" t="str">
            <v>Confecção de BSCC - seção 2,0 x 2,0 m canal - tipo I - areia extraída e brita produzida</v>
          </cell>
          <cell r="Y534" t="str">
            <v>m</v>
          </cell>
          <cell r="Z534">
            <v>995.26</v>
          </cell>
          <cell r="AA534">
            <v>0</v>
          </cell>
          <cell r="BC534" t="str">
            <v>M1869</v>
          </cell>
          <cell r="BD534" t="str">
            <v>Bit para martelo de fundo - D = 120 mm</v>
          </cell>
          <cell r="BE534" t="str">
            <v xml:space="preserve">un </v>
          </cell>
          <cell r="BF534">
            <v>1549.0121999999999</v>
          </cell>
          <cell r="BG534">
            <v>0</v>
          </cell>
        </row>
        <row r="535">
          <cell r="B535">
            <v>1505877</v>
          </cell>
          <cell r="C535" t="str">
            <v>SICRO</v>
          </cell>
          <cell r="D535" t="str">
            <v>Enrocamento com pedra de mão, inclusive espalhamento e compactação mecânica - fornecimento e assentamento</v>
          </cell>
          <cell r="E535" t="str">
            <v>m³</v>
          </cell>
          <cell r="F535">
            <v>84.106433585802563</v>
          </cell>
          <cell r="G535">
            <v>84.106433585802563</v>
          </cell>
          <cell r="H535">
            <v>84.106433585802563</v>
          </cell>
          <cell r="I535">
            <v>0</v>
          </cell>
          <cell r="J535">
            <v>103.7943029567422</v>
          </cell>
          <cell r="K535">
            <v>103.7943029567422</v>
          </cell>
          <cell r="L535">
            <v>103.7943029567422</v>
          </cell>
          <cell r="W535">
            <v>1106135</v>
          </cell>
          <cell r="X535" t="str">
            <v>Concreto fck = 25 MPa - confecção em central dosadora de 30 m³/h - areia extraída e brita produzida</v>
          </cell>
          <cell r="Y535" t="str">
            <v>m³</v>
          </cell>
          <cell r="Z535">
            <v>190.28</v>
          </cell>
          <cell r="AA535">
            <v>0</v>
          </cell>
          <cell r="BC535" t="str">
            <v>M1875</v>
          </cell>
          <cell r="BD535" t="str">
            <v>Haste de perfuração API - D = 73 mm</v>
          </cell>
          <cell r="BE535" t="str">
            <v>m</v>
          </cell>
          <cell r="BF535">
            <v>795.29819999999995</v>
          </cell>
          <cell r="BG535">
            <v>0</v>
          </cell>
        </row>
        <row r="536">
          <cell r="B536">
            <v>2003858</v>
          </cell>
          <cell r="C536" t="str">
            <v>SICRO</v>
          </cell>
          <cell r="D536" t="str">
            <v>Lastro de areia comercial - espalhamento mecânico</v>
          </cell>
          <cell r="E536" t="str">
            <v>m³</v>
          </cell>
          <cell r="F536">
            <v>8.9323501639344265</v>
          </cell>
          <cell r="G536">
            <v>8.9323501639344265</v>
          </cell>
          <cell r="H536">
            <v>8.9323501639344265</v>
          </cell>
          <cell r="I536">
            <v>0</v>
          </cell>
          <cell r="J536">
            <v>9.0489170491803286</v>
          </cell>
          <cell r="K536">
            <v>9.0489170491803286</v>
          </cell>
          <cell r="L536">
            <v>9.0489170491803286</v>
          </cell>
          <cell r="W536" t="str">
            <v>E9001</v>
          </cell>
          <cell r="X536" t="str">
            <v>Conjunto vibratório para tubos de concreto com encaixe PB e 3 jogos de formas - D = 60 cm - 2,2 kW</v>
          </cell>
          <cell r="Y536" t="str">
            <v>h</v>
          </cell>
          <cell r="Z536">
            <v>14.7103</v>
          </cell>
          <cell r="AA536">
            <v>9.1241000000000003</v>
          </cell>
          <cell r="BC536" t="str">
            <v>M1874</v>
          </cell>
          <cell r="BD536" t="str">
            <v>Martelo de fundo DTH - D = 110 a 130 mm</v>
          </cell>
          <cell r="BE536" t="str">
            <v>un</v>
          </cell>
          <cell r="BF536">
            <v>11599.8143</v>
          </cell>
          <cell r="BG536">
            <v>0</v>
          </cell>
        </row>
        <row r="537">
          <cell r="B537">
            <v>5503041</v>
          </cell>
          <cell r="C537" t="str">
            <v>SICRO</v>
          </cell>
          <cell r="D537" t="str">
            <v>Compactação de aterros a 100% do Proctor intermediário</v>
          </cell>
          <cell r="E537" t="str">
            <v>m³</v>
          </cell>
          <cell r="F537">
            <v>5.1514592274678117</v>
          </cell>
          <cell r="G537">
            <v>5.1514592274678117</v>
          </cell>
          <cell r="H537">
            <v>5.1514592274678117</v>
          </cell>
          <cell r="I537">
            <v>0</v>
          </cell>
          <cell r="J537">
            <v>5.287028495252958</v>
          </cell>
          <cell r="K537">
            <v>5.287028495252958</v>
          </cell>
          <cell r="L537">
            <v>5.287028495252958</v>
          </cell>
          <cell r="W537" t="str">
            <v>E9008</v>
          </cell>
          <cell r="X537" t="str">
            <v>Transportador manual de tubos de concreto</v>
          </cell>
          <cell r="Y537" t="str">
            <v>h</v>
          </cell>
          <cell r="Z537">
            <v>2.2189000000000001</v>
          </cell>
          <cell r="AA537">
            <v>1.4590000000000001</v>
          </cell>
          <cell r="BC537" t="str">
            <v>E9646</v>
          </cell>
          <cell r="BD537" t="str">
            <v>Compressor de ar portátil de 124 PCM - 27 kW</v>
          </cell>
          <cell r="BE537" t="str">
            <v>h</v>
          </cell>
          <cell r="BF537">
            <v>24.325399999999998</v>
          </cell>
          <cell r="BG537">
            <v>5.9280999999999997</v>
          </cell>
        </row>
        <row r="538">
          <cell r="B538">
            <v>5914347</v>
          </cell>
          <cell r="C538" t="str">
            <v>SICRO</v>
          </cell>
          <cell r="D538" t="str">
            <v>Transporte com caminhão basculante de 8 m³ para rocha - rodovia com revestimento primário</v>
          </cell>
          <cell r="E538" t="str">
            <v>tkm</v>
          </cell>
          <cell r="F538">
            <v>0.76970040160642572</v>
          </cell>
          <cell r="G538">
            <v>0.76970040160642572</v>
          </cell>
          <cell r="H538">
            <v>0.76970040160642572</v>
          </cell>
          <cell r="I538">
            <v>0</v>
          </cell>
          <cell r="J538">
            <v>0.77414738955823292</v>
          </cell>
          <cell r="K538">
            <v>0.77414738955823292</v>
          </cell>
          <cell r="L538">
            <v>0.77414738955823292</v>
          </cell>
          <cell r="W538" t="str">
            <v>E9002</v>
          </cell>
          <cell r="X538" t="str">
            <v>Conjunto vibratório para tubos de concreto com encaixe PB e 3 jogos de formas - D = 80 cm - 2,2 kW</v>
          </cell>
          <cell r="Y538" t="str">
            <v>h</v>
          </cell>
          <cell r="Z538">
            <v>16.151499999999999</v>
          </cell>
          <cell r="AA538">
            <v>10.018000000000001</v>
          </cell>
          <cell r="BC538" t="str">
            <v>M0459</v>
          </cell>
          <cell r="BD538" t="str">
            <v>Compensado plastificado de 14 mm</v>
          </cell>
          <cell r="BE538" t="str">
            <v>m²</v>
          </cell>
          <cell r="BF538">
            <v>32.4542</v>
          </cell>
          <cell r="BG538">
            <v>0</v>
          </cell>
        </row>
        <row r="539">
          <cell r="B539">
            <v>5406027</v>
          </cell>
          <cell r="C539" t="str">
            <v>SICRO</v>
          </cell>
          <cell r="D539" t="str">
            <v>Muro de escama de concreto armado em solo reforçado com fita metálica com altura de 6,0 a 8 m - tipo 1 - areia e brita COMERCIAIS</v>
          </cell>
          <cell r="E539" t="str">
            <v>m²</v>
          </cell>
          <cell r="F539">
            <v>335.62659379599995</v>
          </cell>
          <cell r="G539">
            <v>335.62659379599995</v>
          </cell>
          <cell r="H539">
            <v>335.62659379599995</v>
          </cell>
          <cell r="I539">
            <v>0</v>
          </cell>
          <cell r="J539">
            <v>347.03371485600002</v>
          </cell>
          <cell r="K539">
            <v>347.03371485600002</v>
          </cell>
          <cell r="L539">
            <v>347.03371485600002</v>
          </cell>
          <cell r="W539" t="str">
            <v>E9003</v>
          </cell>
          <cell r="X539" t="str">
            <v>Conjunto vibratório para tubos de concreto com encaixe PB e 3 jogos de formas - D = 100 cm - 2,2 kW</v>
          </cell>
          <cell r="Y539" t="str">
            <v>h</v>
          </cell>
          <cell r="Z539">
            <v>17.1569</v>
          </cell>
          <cell r="AA539">
            <v>10.6416</v>
          </cell>
          <cell r="BC539" t="str">
            <v>E9787</v>
          </cell>
          <cell r="BD539" t="str">
            <v>Bomba para concreto com lança montada sobre chassi com capacidade de 45 m³/h - 136 kW</v>
          </cell>
          <cell r="BE539" t="str">
            <v>h</v>
          </cell>
          <cell r="BF539">
            <v>253.5367</v>
          </cell>
          <cell r="BG539">
            <v>132.13999999999999</v>
          </cell>
        </row>
        <row r="540">
          <cell r="B540">
            <v>5213423</v>
          </cell>
          <cell r="C540" t="str">
            <v>SICRO</v>
          </cell>
          <cell r="D540" t="str">
            <v>Confecção de placa modulada em aço nº 18, galvanizado, com película retrorrefletiva tipo I + III</v>
          </cell>
          <cell r="E540" t="str">
            <v>m²</v>
          </cell>
          <cell r="F540">
            <v>375.45565142550004</v>
          </cell>
          <cell r="G540">
            <v>375.45565142550004</v>
          </cell>
          <cell r="H540">
            <v>375.45565142550004</v>
          </cell>
          <cell r="I540">
            <v>0</v>
          </cell>
          <cell r="J540">
            <v>377.37156888250001</v>
          </cell>
          <cell r="K540">
            <v>377.37156888250001</v>
          </cell>
          <cell r="L540">
            <v>377.37156888250001</v>
          </cell>
          <cell r="W540" t="str">
            <v>E9004</v>
          </cell>
          <cell r="X540" t="str">
            <v>Conjunto vibratório para tubos de concreto com encaixe PB e 3 jogos de formas - D = 100 cm - 2,2 kW</v>
          </cell>
          <cell r="Y540" t="str">
            <v>h</v>
          </cell>
          <cell r="Z540">
            <v>17.302199999999999</v>
          </cell>
          <cell r="AA540">
            <v>10.7317</v>
          </cell>
          <cell r="BC540">
            <v>5919538</v>
          </cell>
          <cell r="BD540" t="str">
            <v>Concreto</v>
          </cell>
          <cell r="BE540" t="str">
            <v>t</v>
          </cell>
          <cell r="BF540">
            <v>9.65</v>
          </cell>
          <cell r="BG540">
            <v>0</v>
          </cell>
        </row>
        <row r="541">
          <cell r="B541">
            <v>5213431</v>
          </cell>
          <cell r="C541" t="str">
            <v>SICRO</v>
          </cell>
          <cell r="D541" t="str">
            <v>Confecção de placa em chapa de poliester reforçada com fibra de vidro com película retrorrefletiva tipo I + III</v>
          </cell>
          <cell r="E541" t="str">
            <v>m²</v>
          </cell>
          <cell r="F541">
            <v>261.74341536499998</v>
          </cell>
          <cell r="G541">
            <v>261.74341536499998</v>
          </cell>
          <cell r="H541">
            <v>261.74341536499998</v>
          </cell>
          <cell r="I541">
            <v>0</v>
          </cell>
          <cell r="J541">
            <v>252.46184925166665</v>
          </cell>
          <cell r="K541">
            <v>252.46184925166665</v>
          </cell>
          <cell r="L541">
            <v>252.46184925166665</v>
          </cell>
          <cell r="W541" t="str">
            <v>E9005</v>
          </cell>
          <cell r="X541" t="str">
            <v>Conjunto vibratório para tubos de concreto com encaixe PB e 3 jogos de formas - D = 150 cm - 2,2 kW</v>
          </cell>
          <cell r="Y541" t="str">
            <v>h</v>
          </cell>
          <cell r="Z541">
            <v>17.3079</v>
          </cell>
          <cell r="AA541">
            <v>10.735300000000001</v>
          </cell>
          <cell r="BC541">
            <v>1207708</v>
          </cell>
          <cell r="BD541" t="str">
            <v>Concreto fck = 30 MPa para projeção via úmida - confecção em central dosadora de 30 m³/h</v>
          </cell>
          <cell r="BE541" t="str">
            <v>m³</v>
          </cell>
          <cell r="BF541">
            <v>345.52</v>
          </cell>
          <cell r="BG541">
            <v>0</v>
          </cell>
        </row>
        <row r="542">
          <cell r="B542">
            <v>5213869</v>
          </cell>
          <cell r="C542" t="str">
            <v>SICRO</v>
          </cell>
          <cell r="D542" t="str">
            <v>Fornecimento e implantação de suporte metálico galvanizado para placas - 3,00 x 1,50 m</v>
          </cell>
          <cell r="E542" t="str">
            <v>un</v>
          </cell>
          <cell r="F542">
            <v>1045.867866395077</v>
          </cell>
          <cell r="G542">
            <v>1045.867866395077</v>
          </cell>
          <cell r="H542">
            <v>1045.867866395077</v>
          </cell>
          <cell r="I542">
            <v>0</v>
          </cell>
          <cell r="J542">
            <v>1064.4765318027694</v>
          </cell>
          <cell r="K542">
            <v>1064.4765318027694</v>
          </cell>
          <cell r="L542">
            <v>1064.4765318027694</v>
          </cell>
          <cell r="W542">
            <v>4805765</v>
          </cell>
          <cell r="X542" t="str">
            <v>Escavação de vala em material de 3ª categoria</v>
          </cell>
          <cell r="Y542" t="str">
            <v>m³</v>
          </cell>
          <cell r="Z542">
            <v>332.35</v>
          </cell>
          <cell r="AA542">
            <v>0</v>
          </cell>
          <cell r="BC542" t="str">
            <v>P9885</v>
          </cell>
          <cell r="BD542" t="str">
            <v>Frentista de túnel</v>
          </cell>
          <cell r="BE542" t="str">
            <v>h</v>
          </cell>
          <cell r="BF542">
            <v>22.918800000000001</v>
          </cell>
          <cell r="BG542">
            <v>0</v>
          </cell>
        </row>
        <row r="543">
          <cell r="B543">
            <v>5213870</v>
          </cell>
          <cell r="C543" t="str">
            <v>SICRO</v>
          </cell>
          <cell r="D543" t="str">
            <v>Fornecimento e implantação de suporte metálico galvanizado para placas - 3,00 x 2,00 m</v>
          </cell>
          <cell r="E543" t="str">
            <v>un</v>
          </cell>
          <cell r="F543">
            <v>1265.5144257810909</v>
          </cell>
          <cell r="G543">
            <v>1265.5144257810909</v>
          </cell>
          <cell r="H543">
            <v>1265.5144257810909</v>
          </cell>
          <cell r="I543">
            <v>0</v>
          </cell>
          <cell r="J543">
            <v>1291.0674899174544</v>
          </cell>
          <cell r="K543">
            <v>1291.0674899174544</v>
          </cell>
          <cell r="L543">
            <v>1291.0674899174544</v>
          </cell>
          <cell r="W543" t="str">
            <v>M1675</v>
          </cell>
          <cell r="X543" t="str">
            <v>Tubo de PVC roscável de 6"</v>
          </cell>
          <cell r="Y543" t="str">
            <v>m</v>
          </cell>
          <cell r="Z543">
            <v>93.24</v>
          </cell>
          <cell r="AA543">
            <v>0</v>
          </cell>
          <cell r="BC543" t="str">
            <v>E9790</v>
          </cell>
          <cell r="BD543" t="str">
            <v>Bomba para concreto projetado via úmida com capacidade de 10 m³/h - 14,7 kW</v>
          </cell>
          <cell r="BE543" t="str">
            <v>h</v>
          </cell>
          <cell r="BF543">
            <v>66.050299999999993</v>
          </cell>
          <cell r="BG543">
            <v>50.165199999999999</v>
          </cell>
        </row>
        <row r="544">
          <cell r="B544">
            <v>5213871</v>
          </cell>
          <cell r="C544" t="str">
            <v>SICRO</v>
          </cell>
          <cell r="D544" t="str">
            <v>Fornecimento e implantação de suporte metálico galvanizado para placas - 4,00 x 2,00 m</v>
          </cell>
          <cell r="E544" t="str">
            <v>un</v>
          </cell>
          <cell r="F544">
            <v>1705.4534935720003</v>
          </cell>
          <cell r="G544">
            <v>1705.4534935720003</v>
          </cell>
          <cell r="H544">
            <v>1705.4534935720003</v>
          </cell>
          <cell r="I544">
            <v>0</v>
          </cell>
          <cell r="J544">
            <v>1737.7752311720003</v>
          </cell>
          <cell r="K544">
            <v>1737.7752311720003</v>
          </cell>
          <cell r="L544">
            <v>1737.7752311720003</v>
          </cell>
          <cell r="W544">
            <v>1506056</v>
          </cell>
          <cell r="X544" t="str">
            <v>Pedra argamassada com cimento e areia 1:3 - areia extraída e pedra de mão produzida - confecção e assentamento</v>
          </cell>
          <cell r="Y544" t="str">
            <v>m³</v>
          </cell>
          <cell r="Z544">
            <v>197.89</v>
          </cell>
          <cell r="AA544">
            <v>0</v>
          </cell>
          <cell r="BC544" t="str">
            <v>M0253</v>
          </cell>
          <cell r="BD544" t="str">
            <v>Cabo isolado PVC de 16 mm² - 750 V</v>
          </cell>
          <cell r="BE544" t="str">
            <v>m</v>
          </cell>
          <cell r="BF544">
            <v>6.7290000000000001</v>
          </cell>
          <cell r="BG544">
            <v>0</v>
          </cell>
        </row>
        <row r="545">
          <cell r="B545">
            <v>5213800</v>
          </cell>
          <cell r="C545" t="str">
            <v>SICRO</v>
          </cell>
          <cell r="D545" t="str">
            <v>Pórtico metálico com vão de 17 m, vento de 45 m/s, área de exposição de até 25,5 m², tensão admissível solo &gt; 200 kN/m² - areia extraída e brita produzida</v>
          </cell>
          <cell r="E545" t="str">
            <v>un</v>
          </cell>
          <cell r="F545">
            <v>58271.020139799999</v>
          </cell>
          <cell r="G545">
            <v>58271.020139799999</v>
          </cell>
          <cell r="H545">
            <v>58271.020139799999</v>
          </cell>
          <cell r="I545">
            <v>0</v>
          </cell>
          <cell r="J545">
            <v>58323.762759200006</v>
          </cell>
          <cell r="K545">
            <v>58323.762759200006</v>
          </cell>
          <cell r="L545">
            <v>58323.762759200006</v>
          </cell>
          <cell r="W545">
            <v>6416240</v>
          </cell>
          <cell r="X545" t="str">
            <v>Usinagem de pré-misturado a quente com asfalto polímero - faixa III - camada porosa de atrito - areia e brita comerciais - Caminhão basculante 10 m³</v>
          </cell>
          <cell r="Y545" t="str">
            <v>t</v>
          </cell>
          <cell r="Z545">
            <v>108.25</v>
          </cell>
          <cell r="AA545">
            <v>0</v>
          </cell>
          <cell r="BC545" t="str">
            <v>M0260</v>
          </cell>
          <cell r="BD545" t="str">
            <v>Cabo paralelo de 3 x 1,5 mm²</v>
          </cell>
          <cell r="BE545" t="str">
            <v>m</v>
          </cell>
          <cell r="BF545">
            <v>2.0316999999999998</v>
          </cell>
          <cell r="BG545">
            <v>0</v>
          </cell>
        </row>
        <row r="546">
          <cell r="B546">
            <v>5213799</v>
          </cell>
          <cell r="C546" t="str">
            <v>SICRO</v>
          </cell>
          <cell r="D546" t="str">
            <v>Pórtico metálico com vão de 15,9 m, vento de 45 m/s, área de exposição de até 23,85 m², tensão admissível solo &gt; 200 kN/m² - areia extraída e brita produzida</v>
          </cell>
          <cell r="E546" t="str">
            <v>un</v>
          </cell>
          <cell r="F546">
            <v>54030.191289800001</v>
          </cell>
          <cell r="G546">
            <v>54030.191289800001</v>
          </cell>
          <cell r="H546">
            <v>54030.191289800001</v>
          </cell>
          <cell r="I546">
            <v>0</v>
          </cell>
          <cell r="J546">
            <v>54046.800859200004</v>
          </cell>
          <cell r="K546">
            <v>54046.800859200004</v>
          </cell>
          <cell r="L546">
            <v>54046.800859200004</v>
          </cell>
          <cell r="W546" t="str">
            <v>E9631</v>
          </cell>
          <cell r="X546" t="str">
            <v>Bomba para concreto projetado via seca com capacidade de 6 m³/h - 7,5 kW</v>
          </cell>
          <cell r="Y546" t="str">
            <v>h</v>
          </cell>
          <cell r="Z546">
            <v>47.812800000000003</v>
          </cell>
          <cell r="AA546">
            <v>44.355499999999999</v>
          </cell>
          <cell r="BC546" t="str">
            <v>M0266</v>
          </cell>
          <cell r="BD546" t="str">
            <v>Cabo Sintenax de 240 mm² - 1 kV</v>
          </cell>
          <cell r="BE546" t="str">
            <v>m</v>
          </cell>
          <cell r="BF546">
            <v>80.2256</v>
          </cell>
          <cell r="BG546">
            <v>0</v>
          </cell>
        </row>
        <row r="547">
          <cell r="B547">
            <v>5213792</v>
          </cell>
          <cell r="C547" t="str">
            <v>SICRO</v>
          </cell>
          <cell r="D547" t="str">
            <v>Semi-pórtico metálico com vão de 8,3 m, vento de 45 m/s, área de exposição de até 12,45 m², tensão admissível solo &gt; 200 kN/m² - areia extraída e brita produzida</v>
          </cell>
          <cell r="E547" t="str">
            <v>un</v>
          </cell>
          <cell r="F547">
            <v>35019.860842500006</v>
          </cell>
          <cell r="G547">
            <v>35019.860842500006</v>
          </cell>
          <cell r="H547">
            <v>35019.860842500006</v>
          </cell>
          <cell r="I547">
            <v>0</v>
          </cell>
          <cell r="J547">
            <v>35048.153680000003</v>
          </cell>
          <cell r="K547">
            <v>35048.153680000003</v>
          </cell>
          <cell r="L547">
            <v>35048.153680000003</v>
          </cell>
          <cell r="W547" t="str">
            <v>E9671</v>
          </cell>
          <cell r="X547" t="str">
            <v>Compressor de ar portátil de 748 PCM - 154 kW</v>
          </cell>
          <cell r="Y547" t="str">
            <v>h</v>
          </cell>
          <cell r="Z547">
            <v>129.0848</v>
          </cell>
          <cell r="AA547">
            <v>27.710100000000001</v>
          </cell>
          <cell r="BC547" t="str">
            <v>M0269</v>
          </cell>
          <cell r="BD547" t="str">
            <v>Cabo Sintenax de 50 mm² - 1 kV</v>
          </cell>
          <cell r="BE547" t="str">
            <v>m</v>
          </cell>
          <cell r="BF547">
            <v>21.9556</v>
          </cell>
          <cell r="BG547">
            <v>0</v>
          </cell>
        </row>
        <row r="548">
          <cell r="B548">
            <v>5301061</v>
          </cell>
          <cell r="C548" t="str">
            <v>SICRO</v>
          </cell>
          <cell r="D548" t="str">
            <v>Fornecimento e implantação de suporte simples em madeira com travessa para placa de sinalização náutica em margem -
altura total de 4 m</v>
          </cell>
          <cell r="E548" t="str">
            <v>un</v>
          </cell>
          <cell r="F548">
            <v>130.90674965299999</v>
          </cell>
          <cell r="G548">
            <v>130.90674965299999</v>
          </cell>
          <cell r="H548">
            <v>130.90674965299999</v>
          </cell>
          <cell r="I548">
            <v>0</v>
          </cell>
          <cell r="J548">
            <v>135.07373375200001</v>
          </cell>
          <cell r="K548">
            <v>135.07373375200001</v>
          </cell>
          <cell r="L548">
            <v>135.07373375200001</v>
          </cell>
          <cell r="W548">
            <v>1207700</v>
          </cell>
          <cell r="X548" t="str">
            <v>Concreto fck = 20 MPa para projeção via seca - confecção em betoneira</v>
          </cell>
          <cell r="Y548" t="str">
            <v>m³</v>
          </cell>
          <cell r="Z548">
            <v>375.64</v>
          </cell>
          <cell r="AA548">
            <v>0</v>
          </cell>
          <cell r="BC548" t="str">
            <v>M2071</v>
          </cell>
          <cell r="BD548" t="str">
            <v>Coroa para jumbo hidráulico T38 - D = 2"</v>
          </cell>
          <cell r="BE548" t="str">
            <v>un</v>
          </cell>
          <cell r="BF548">
            <v>396.3141</v>
          </cell>
          <cell r="BG548">
            <v>0</v>
          </cell>
        </row>
        <row r="549">
          <cell r="B549">
            <v>5301063</v>
          </cell>
          <cell r="C549" t="str">
            <v>SICRO</v>
          </cell>
          <cell r="D549" t="str">
            <v>Fornecimento e implantação de suporte simples em madeira com travessa para placa de sinalização náutica em margem -
altura total de 5,5 m</v>
          </cell>
          <cell r="E549" t="str">
            <v>un</v>
          </cell>
          <cell r="F549">
            <v>268.19434062243482</v>
          </cell>
          <cell r="G549">
            <v>268.19434062243482</v>
          </cell>
          <cell r="H549">
            <v>268.19434062243482</v>
          </cell>
          <cell r="I549">
            <v>0</v>
          </cell>
          <cell r="J549">
            <v>278.30192147391307</v>
          </cell>
          <cell r="K549">
            <v>278.30192147391307</v>
          </cell>
          <cell r="L549">
            <v>278.30192147391307</v>
          </cell>
          <cell r="W549" t="str">
            <v>E9583</v>
          </cell>
          <cell r="X549" t="str">
            <v>Distribuidor de agregados rebocável com capacidade de 1,9 m³</v>
          </cell>
          <cell r="Y549" t="str">
            <v>h</v>
          </cell>
          <cell r="Z549">
            <v>5.6734</v>
          </cell>
          <cell r="AA549">
            <v>3.6472000000000002</v>
          </cell>
          <cell r="BC549" t="str">
            <v>M2070</v>
          </cell>
          <cell r="BD549" t="str">
            <v>Haste para jumbo hidráulico T38 de 1 1/2" x 4,60 m</v>
          </cell>
          <cell r="BE549" t="str">
            <v>un</v>
          </cell>
          <cell r="BF549">
            <v>1626.5362</v>
          </cell>
          <cell r="BG549">
            <v>0</v>
          </cell>
        </row>
        <row r="550">
          <cell r="B550">
            <v>5213784</v>
          </cell>
          <cell r="C550" t="str">
            <v>SICRO</v>
          </cell>
          <cell r="D550" t="str">
            <v>Pórtico metálico com vão de 24,8 m, vento de 45 m/s, área de exposição de até 37,2 m², tensão admissível solo &gt; 200 kN/m² - areia e brita comerciais</v>
          </cell>
          <cell r="E550" t="str">
            <v>un</v>
          </cell>
          <cell r="F550">
            <v>74070.560275799988</v>
          </cell>
          <cell r="G550">
            <v>74070.560275799988</v>
          </cell>
          <cell r="H550">
            <v>74070.560275799988</v>
          </cell>
          <cell r="I550">
            <v>0</v>
          </cell>
          <cell r="J550">
            <v>74356.611853800001</v>
          </cell>
          <cell r="K550">
            <v>74356.611853800001</v>
          </cell>
          <cell r="L550">
            <v>74356.611853800001</v>
          </cell>
          <cell r="W550" t="str">
            <v>M1944</v>
          </cell>
          <cell r="X550" t="str">
            <v>Cimento asfáltico CAP 150/200</v>
          </cell>
          <cell r="Y550" t="str">
            <v>t</v>
          </cell>
          <cell r="Z550">
            <v>0</v>
          </cell>
          <cell r="AA550">
            <v>0</v>
          </cell>
          <cell r="BC550" t="str">
            <v>M0868</v>
          </cell>
          <cell r="BD550" t="str">
            <v>Lâmpada compacta eletrônica PLE 20 W</v>
          </cell>
          <cell r="BE550" t="str">
            <v>un</v>
          </cell>
          <cell r="BF550">
            <v>8.35</v>
          </cell>
          <cell r="BG550">
            <v>0</v>
          </cell>
        </row>
        <row r="551">
          <cell r="B551">
            <v>92264</v>
          </cell>
          <cell r="C551" t="str">
            <v>SINAPI</v>
          </cell>
          <cell r="D551" t="str">
            <v>FABRICAÇÃO DE FÔRMA PARA PILARES E ESTRUTURAS SIMILARES, EM CHAPA DE MADEIRA COMPENSADA PLASTIFICADA, E = 18 MM</v>
          </cell>
          <cell r="E551" t="str">
            <v>m²</v>
          </cell>
          <cell r="F551">
            <v>110.58102999999998</v>
          </cell>
          <cell r="G551">
            <v>110.58102999999998</v>
          </cell>
          <cell r="H551">
            <v>110.58102999999998</v>
          </cell>
          <cell r="I551">
            <v>0</v>
          </cell>
          <cell r="J551">
            <v>115.20808</v>
          </cell>
          <cell r="K551">
            <v>115.20808</v>
          </cell>
          <cell r="L551">
            <v>115.20808</v>
          </cell>
          <cell r="W551" t="str">
            <v>M0028</v>
          </cell>
          <cell r="X551" t="str">
            <v>Areia média</v>
          </cell>
          <cell r="Y551" t="str">
            <v>m³</v>
          </cell>
          <cell r="Z551">
            <v>77.457099999999997</v>
          </cell>
          <cell r="AA551">
            <v>0</v>
          </cell>
          <cell r="BC551" t="str">
            <v>M2072</v>
          </cell>
          <cell r="BD551" t="str">
            <v>Luva de acoplamento para jumbo T38 - D = 1 1/2"</v>
          </cell>
          <cell r="BE551" t="str">
            <v>un</v>
          </cell>
          <cell r="BF551">
            <v>217.10290000000001</v>
          </cell>
          <cell r="BG551">
            <v>0</v>
          </cell>
        </row>
        <row r="552">
          <cell r="B552">
            <v>3713604</v>
          </cell>
          <cell r="C552" t="str">
            <v>DER SP</v>
          </cell>
          <cell r="D552" t="str">
            <v>FORNECIMENTO DE DEFENSA DE CONTENCAO SIMPLES, EM SOLO, CERTIF. MOD.H1AW4 15º</v>
          </cell>
          <cell r="E552" t="str">
            <v>m</v>
          </cell>
          <cell r="F552">
            <v>213.25062630602409</v>
          </cell>
          <cell r="G552">
            <v>213.25062630602409</v>
          </cell>
          <cell r="H552">
            <v>213.25062630602409</v>
          </cell>
          <cell r="I552">
            <v>0</v>
          </cell>
          <cell r="J552">
            <v>213.52329635903615</v>
          </cell>
          <cell r="K552">
            <v>213.52329635903615</v>
          </cell>
          <cell r="L552">
            <v>213.52329635903615</v>
          </cell>
          <cell r="W552" t="str">
            <v>E9688</v>
          </cell>
          <cell r="X552" t="str">
            <v>Usina móvel de lama asfáltica montada sobre chassi com capacidade de 5 m³ - 25 kW/188 kW</v>
          </cell>
          <cell r="Y552" t="str">
            <v>h</v>
          </cell>
          <cell r="Z552">
            <v>260.363</v>
          </cell>
          <cell r="AA552">
            <v>113.12179999999999</v>
          </cell>
          <cell r="BC552" t="str">
            <v>M1732</v>
          </cell>
          <cell r="BD552" t="str">
            <v>Luva para tubo de aço galvanizado BSP classe leve - D = 50 mm</v>
          </cell>
          <cell r="BE552" t="str">
            <v>un</v>
          </cell>
          <cell r="BF552">
            <v>4.8795000000000002</v>
          </cell>
          <cell r="BG552">
            <v>0</v>
          </cell>
        </row>
        <row r="553">
          <cell r="B553" t="str">
            <v>28.10.01</v>
          </cell>
          <cell r="C553" t="str">
            <v>DER SP</v>
          </cell>
          <cell r="D553" t="str">
            <v>FORN./INSTAL. BALIZ.(CATADIOPTRICO) P/DEF. MET. C/PELICULA GT+GT, CONF.OP-06-05</v>
          </cell>
          <cell r="E553" t="str">
            <v>un</v>
          </cell>
          <cell r="F553">
            <v>18.869500000000002</v>
          </cell>
          <cell r="G553">
            <v>18.869500000000002</v>
          </cell>
          <cell r="H553">
            <v>18.869499999999999</v>
          </cell>
          <cell r="I553">
            <v>0</v>
          </cell>
          <cell r="J553">
            <v>18.869499999999999</v>
          </cell>
          <cell r="K553">
            <v>18.869500000000002</v>
          </cell>
          <cell r="L553">
            <v>18.869499999999999</v>
          </cell>
          <cell r="W553" t="str">
            <v>M1949</v>
          </cell>
          <cell r="X553" t="str">
            <v>Emulsão asfáltica RL-1C</v>
          </cell>
          <cell r="Y553" t="str">
            <v>t</v>
          </cell>
          <cell r="Z553">
            <v>0</v>
          </cell>
          <cell r="AA553">
            <v>0</v>
          </cell>
          <cell r="BC553" t="str">
            <v>M2135</v>
          </cell>
          <cell r="BD553" t="str">
            <v>Nonel de coluna (túnel)</v>
          </cell>
          <cell r="BE553" t="str">
            <v>un</v>
          </cell>
          <cell r="BF553">
            <v>15.975</v>
          </cell>
          <cell r="BG553">
            <v>0</v>
          </cell>
        </row>
        <row r="554">
          <cell r="B554">
            <v>3713690</v>
          </cell>
          <cell r="C554" t="str">
            <v>SICRO</v>
          </cell>
          <cell r="D554" t="str">
            <v>Terminal de ancoragem de defensa metálica em barreira New Jersey - fornecimento e implantação</v>
          </cell>
          <cell r="E554" t="str">
            <v>un</v>
          </cell>
          <cell r="F554">
            <v>286.94633599999997</v>
          </cell>
          <cell r="G554">
            <v>286.94633599999997</v>
          </cell>
          <cell r="H554">
            <v>286.94633599999997</v>
          </cell>
          <cell r="I554">
            <v>0</v>
          </cell>
          <cell r="J554">
            <v>288.60801199999997</v>
          </cell>
          <cell r="K554">
            <v>288.60801199999997</v>
          </cell>
          <cell r="L554">
            <v>288.60801199999997</v>
          </cell>
          <cell r="W554">
            <v>5213416</v>
          </cell>
          <cell r="X554" t="str">
            <v>Confecção de placa em aço nº 16 galvanizado, com película tipo I + I</v>
          </cell>
          <cell r="Y554" t="str">
            <v>m²</v>
          </cell>
          <cell r="Z554">
            <v>266.31</v>
          </cell>
          <cell r="AA554">
            <v>0</v>
          </cell>
          <cell r="BC554" t="str">
            <v>M1640</v>
          </cell>
          <cell r="BD554" t="str">
            <v>Nonel iniciador com 300 m</v>
          </cell>
          <cell r="BE554" t="str">
            <v>un</v>
          </cell>
          <cell r="BF554">
            <v>184.54490000000001</v>
          </cell>
          <cell r="BG554">
            <v>0</v>
          </cell>
        </row>
        <row r="555">
          <cell r="B555">
            <v>3713608</v>
          </cell>
          <cell r="C555" t="str">
            <v>SICRO</v>
          </cell>
          <cell r="D555" t="str">
            <v>Cerca com 4 fios de arame farpado e mourão de madeira a cada 2,5 m e esticador a cada 50 m</v>
          </cell>
          <cell r="E555" t="str">
            <v>m</v>
          </cell>
          <cell r="F555">
            <v>17.161680135999998</v>
          </cell>
          <cell r="G555">
            <v>17.161680135999998</v>
          </cell>
          <cell r="H555">
            <v>17.161680135999998</v>
          </cell>
          <cell r="I555">
            <v>0</v>
          </cell>
          <cell r="J555">
            <v>17.474266744000001</v>
          </cell>
          <cell r="K555">
            <v>17.474266744000001</v>
          </cell>
          <cell r="L555">
            <v>17.474266744000001</v>
          </cell>
          <cell r="W555" t="str">
            <v>E9127</v>
          </cell>
          <cell r="X555" t="str">
            <v>Escavadeira hidráulica com martelo hidráulico de 500 kg - 103 kW</v>
          </cell>
          <cell r="Y555" t="str">
            <v>h</v>
          </cell>
          <cell r="Z555">
            <v>281.28579999999999</v>
          </cell>
          <cell r="AA555">
            <v>126.1177</v>
          </cell>
          <cell r="BC555" t="str">
            <v>M0600</v>
          </cell>
          <cell r="BD555" t="str">
            <v>Ponteiro de martelo demolidor de 1,2 m</v>
          </cell>
          <cell r="BE555" t="str">
            <v>un</v>
          </cell>
          <cell r="BF555">
            <v>60.616300000000003</v>
          </cell>
          <cell r="BG555">
            <v>0</v>
          </cell>
        </row>
        <row r="556">
          <cell r="B556">
            <v>4915730</v>
          </cell>
          <cell r="C556" t="str">
            <v>SICRO</v>
          </cell>
          <cell r="D556" t="str">
            <v>Recomposição total de cerca com mourão de madeira</v>
          </cell>
          <cell r="E556" t="str">
            <v>m</v>
          </cell>
          <cell r="F556">
            <v>19.184277460000001</v>
          </cell>
          <cell r="G556">
            <v>19.184277460000001</v>
          </cell>
          <cell r="H556">
            <v>19.184277460000001</v>
          </cell>
          <cell r="I556">
            <v>0</v>
          </cell>
          <cell r="J556">
            <v>19.462647980000003</v>
          </cell>
          <cell r="K556">
            <v>19.462647980000003</v>
          </cell>
          <cell r="L556">
            <v>19.462647980000003</v>
          </cell>
          <cell r="W556">
            <v>1416201</v>
          </cell>
          <cell r="X556" t="str">
            <v>Corte de barras de aço CA-50 com maçarico oxiacetileno</v>
          </cell>
          <cell r="Y556" t="str">
            <v>cm²</v>
          </cell>
          <cell r="Z556">
            <v>0.62</v>
          </cell>
          <cell r="AA556">
            <v>0</v>
          </cell>
          <cell r="BC556" t="str">
            <v>M1218</v>
          </cell>
          <cell r="BD556" t="str">
            <v>Projetor externo em alumínio fundido para lâmpada até 2.000 W</v>
          </cell>
          <cell r="BE556" t="str">
            <v>un</v>
          </cell>
          <cell r="BF556">
            <v>492.5</v>
          </cell>
          <cell r="BG556">
            <v>0</v>
          </cell>
        </row>
        <row r="557">
          <cell r="B557">
            <v>4805754</v>
          </cell>
          <cell r="C557" t="str">
            <v>SICRO</v>
          </cell>
          <cell r="D557" t="str">
            <v>Compactação manual</v>
          </cell>
          <cell r="E557" t="str">
            <v>m³</v>
          </cell>
          <cell r="F557">
            <v>7.0308603351955306</v>
          </cell>
          <cell r="G557">
            <v>7.0308603351955306</v>
          </cell>
          <cell r="H557">
            <v>7.0308603351955306</v>
          </cell>
          <cell r="I557">
            <v>0</v>
          </cell>
          <cell r="J557">
            <v>7.4026435754189945</v>
          </cell>
          <cell r="K557">
            <v>7.4026435754189945</v>
          </cell>
          <cell r="L557">
            <v>7.4026435754189945</v>
          </cell>
          <cell r="W557" t="str">
            <v>M2093</v>
          </cell>
          <cell r="X557" t="str">
            <v>Material fresado</v>
          </cell>
          <cell r="Y557" t="str">
            <v>m³</v>
          </cell>
          <cell r="Z557">
            <v>0</v>
          </cell>
          <cell r="AA557">
            <v>0</v>
          </cell>
          <cell r="BC557" t="str">
            <v>M2073</v>
          </cell>
          <cell r="BD557" t="str">
            <v>Punho para jumbo hidráulico T38 - D = 1 1/2"</v>
          </cell>
          <cell r="BE557" t="str">
            <v>un</v>
          </cell>
          <cell r="BF557">
            <v>1039.3915</v>
          </cell>
          <cell r="BG557">
            <v>0</v>
          </cell>
        </row>
        <row r="558">
          <cell r="B558" t="str">
            <v>ENCH - R5</v>
          </cell>
          <cell r="C558">
            <v>0</v>
          </cell>
          <cell r="D558" t="str">
            <v xml:space="preserve"> ENCHIMENTO PARA CORREÇÃO DE SUPERELEVAÇÃO: consideradas camadas de 5cm de BINDER</v>
          </cell>
          <cell r="E558" t="str">
            <v>m³</v>
          </cell>
          <cell r="F558">
            <v>1060.7667904983052</v>
          </cell>
          <cell r="G558">
            <v>1060.7667904983052</v>
          </cell>
          <cell r="H558">
            <v>1060.7667904983052</v>
          </cell>
          <cell r="J558">
            <v>1070.8147436157728</v>
          </cell>
          <cell r="K558">
            <v>1070.8147436157728</v>
          </cell>
          <cell r="L558">
            <v>1070.8147436157728</v>
          </cell>
          <cell r="W558">
            <v>1506055</v>
          </cell>
          <cell r="X558" t="str">
            <v>Pedra argamassada com cimento e areia 1:3 - areia e pedra de mão comercial - fornecimento e assentamento</v>
          </cell>
          <cell r="Y558" t="str">
            <v>m³</v>
          </cell>
          <cell r="Z558">
            <v>280.72000000000003</v>
          </cell>
          <cell r="AA558">
            <v>0</v>
          </cell>
          <cell r="BC558" t="str">
            <v>M1614</v>
          </cell>
          <cell r="BD558" t="str">
            <v>Tubo de aço galvanizado BSP classe leve - D = 50 mm</v>
          </cell>
          <cell r="BE558" t="str">
            <v>m</v>
          </cell>
          <cell r="BF558">
            <v>33.75</v>
          </cell>
          <cell r="BG558">
            <v>0</v>
          </cell>
        </row>
        <row r="559">
          <cell r="B559" t="str">
            <v>SJ</v>
          </cell>
          <cell r="C559">
            <v>0</v>
          </cell>
          <cell r="D559" t="str">
            <v>Selagem de juntas</v>
          </cell>
          <cell r="E559" t="str">
            <v>m</v>
          </cell>
          <cell r="F559">
            <v>8.1540160330561555</v>
          </cell>
          <cell r="G559">
            <v>8.1540160330561555</v>
          </cell>
          <cell r="H559">
            <v>8.1540160330561555</v>
          </cell>
          <cell r="J559">
            <v>9.2091458139485702</v>
          </cell>
          <cell r="K559">
            <v>9.2091458139485702</v>
          </cell>
          <cell r="L559">
            <v>9.2091458139485702</v>
          </cell>
          <cell r="W559" t="str">
            <v>M0867</v>
          </cell>
          <cell r="X559" t="str">
            <v>Pórtico metálico para vão de 18,1 m e vento de 45 m/s</v>
          </cell>
          <cell r="Y559" t="str">
            <v>un</v>
          </cell>
          <cell r="Z559">
            <v>46201.221700000002</v>
          </cell>
          <cell r="AA559">
            <v>0</v>
          </cell>
          <cell r="BC559" t="str">
            <v>M1702</v>
          </cell>
          <cell r="BD559" t="str">
            <v>Tubo de ventilação flexível com acessórios - D = 1,2 m</v>
          </cell>
          <cell r="BE559" t="str">
            <v>m</v>
          </cell>
          <cell r="BF559">
            <v>104.0455</v>
          </cell>
          <cell r="BG559">
            <v>0</v>
          </cell>
        </row>
        <row r="560">
          <cell r="B560" t="str">
            <v>DG</v>
          </cell>
          <cell r="C560">
            <v>0</v>
          </cell>
          <cell r="D560" t="str">
            <v>Micro fresagem</v>
          </cell>
          <cell r="E560" t="str">
            <v>m²</v>
          </cell>
          <cell r="F560">
            <v>22.679966984979554</v>
          </cell>
          <cell r="G560">
            <v>22.679966984979554</v>
          </cell>
          <cell r="H560">
            <v>22.679966984979554</v>
          </cell>
          <cell r="J560">
            <v>23.86060839472432</v>
          </cell>
          <cell r="K560">
            <v>23.86060839472432</v>
          </cell>
          <cell r="L560">
            <v>23.86060839472432</v>
          </cell>
          <cell r="W560">
            <v>5405970</v>
          </cell>
          <cell r="X560" t="str">
            <v>Fabricação de escama de concreto armado para solo reforçado com fita metálica - 2 a 5 chumbadores - areia e brita comerciais</v>
          </cell>
          <cell r="Y560" t="str">
            <v>m³</v>
          </cell>
          <cell r="Z560">
            <v>942.17</v>
          </cell>
          <cell r="AA560">
            <v>0</v>
          </cell>
          <cell r="BC560" t="str">
            <v>E9630</v>
          </cell>
          <cell r="BD560" t="str">
            <v>Bomba submersível com capacidade de 75 m³/h - 3,6 kW</v>
          </cell>
          <cell r="BE560" t="str">
            <v>h</v>
          </cell>
          <cell r="BF560">
            <v>0.49709999999999999</v>
          </cell>
          <cell r="BG560">
            <v>0.28999999999999998</v>
          </cell>
        </row>
        <row r="561">
          <cell r="B561" t="str">
            <v>F3R3</v>
          </cell>
          <cell r="C561">
            <v>0</v>
          </cell>
          <cell r="D561" t="str">
            <v xml:space="preserve"> (3,0cm) FRESAGEM +(3,0cm) CBUQ C/ POLÍMERO</v>
          </cell>
          <cell r="E561" t="str">
            <v>m²</v>
          </cell>
          <cell r="F561">
            <v>36.561424842328357</v>
          </cell>
          <cell r="G561">
            <v>36.561424842328357</v>
          </cell>
          <cell r="H561">
            <v>36.561424842328357</v>
          </cell>
          <cell r="J561">
            <v>38.514173424367335</v>
          </cell>
          <cell r="K561">
            <v>38.514173424367335</v>
          </cell>
          <cell r="L561">
            <v>38.514173424367335</v>
          </cell>
          <cell r="W561" t="str">
            <v>M0866</v>
          </cell>
          <cell r="X561" t="str">
            <v>Pórtico metálico para vão de 17,0 m e vento de 45 m/s</v>
          </cell>
          <cell r="Y561" t="str">
            <v xml:space="preserve">un </v>
          </cell>
          <cell r="Z561">
            <v>45299.0481</v>
          </cell>
          <cell r="AA561">
            <v>0</v>
          </cell>
          <cell r="BC561" t="str">
            <v>E9201</v>
          </cell>
          <cell r="BD561" t="str">
            <v>Caminhão basculante para rocha com capacidade de 12 m³ - 188 kW com periculosidade</v>
          </cell>
          <cell r="BE561" t="str">
            <v>h</v>
          </cell>
          <cell r="BF561">
            <v>189.1464</v>
          </cell>
          <cell r="BG561">
            <v>67.286000000000001</v>
          </cell>
        </row>
        <row r="562">
          <cell r="B562" t="str">
            <v>F4R4</v>
          </cell>
          <cell r="C562">
            <v>0</v>
          </cell>
          <cell r="D562" t="str">
            <v xml:space="preserve"> (4,0cm) FRESAGEM +(4,0cm) CBUQ C/ POLÍMERO</v>
          </cell>
          <cell r="E562" t="str">
            <v>m²</v>
          </cell>
          <cell r="F562">
            <v>47.762355943762813</v>
          </cell>
          <cell r="G562">
            <v>47.762355943762813</v>
          </cell>
          <cell r="H562">
            <v>47.762355943762813</v>
          </cell>
          <cell r="J562">
            <v>50.287616828400473</v>
          </cell>
          <cell r="K562">
            <v>50.287616828400473</v>
          </cell>
          <cell r="L562">
            <v>50.287616828400473</v>
          </cell>
          <cell r="W562" t="str">
            <v>M0865</v>
          </cell>
          <cell r="X562" t="str">
            <v>Pórtico metálico para vão de 15,9 m e vento de 45 m/s</v>
          </cell>
          <cell r="Y562" t="str">
            <v>un</v>
          </cell>
          <cell r="Z562">
            <v>42537.652999999998</v>
          </cell>
          <cell r="AA562">
            <v>0</v>
          </cell>
          <cell r="BC562" t="str">
            <v>E9200</v>
          </cell>
          <cell r="BD562" t="str">
            <v>Carregadeira de pneus com capacidade 3,3 m³ - 213 kW com periculosidade</v>
          </cell>
          <cell r="BE562" t="str">
            <v>h</v>
          </cell>
          <cell r="BF562">
            <v>323.65690000000001</v>
          </cell>
          <cell r="BG562">
            <v>136.32509999999999</v>
          </cell>
        </row>
        <row r="563">
          <cell r="B563" t="str">
            <v>F4R5</v>
          </cell>
          <cell r="C563">
            <v>0</v>
          </cell>
          <cell r="D563" t="str">
            <v xml:space="preserve"> (4,0cm) FRESAGEM +(5,0cm) CBUQ C/ POLÍMERO</v>
          </cell>
          <cell r="E563" t="str">
            <v>m²</v>
          </cell>
          <cell r="F563">
            <v>58.095639373203817</v>
          </cell>
          <cell r="G563">
            <v>58.095639373203817</v>
          </cell>
          <cell r="H563">
            <v>58.095639373203817</v>
          </cell>
          <cell r="J563">
            <v>60.940275250996081</v>
          </cell>
          <cell r="K563">
            <v>60.940275250996081</v>
          </cell>
          <cell r="L563">
            <v>60.940275250996081</v>
          </cell>
          <cell r="W563" t="str">
            <v>M0848</v>
          </cell>
          <cell r="X563" t="str">
            <v>Semi-pórtico metálico para vão de 8,3 m e vento de 45 m/s - Guindauto 20 t.m</v>
          </cell>
          <cell r="Y563" t="str">
            <v>un</v>
          </cell>
          <cell r="Z563">
            <v>28492.108100000001</v>
          </cell>
          <cell r="AA563">
            <v>0</v>
          </cell>
          <cell r="BC563" t="str">
            <v>E9203</v>
          </cell>
          <cell r="BD563" t="str">
            <v>Escavadeira hidráulica com martelo hidráulico de 1.700 kg - 103 kW com periculosidade</v>
          </cell>
          <cell r="BE563" t="str">
            <v>h</v>
          </cell>
          <cell r="BF563">
            <v>360.18700000000001</v>
          </cell>
          <cell r="BG563">
            <v>167.75810000000001</v>
          </cell>
        </row>
        <row r="564">
          <cell r="B564" t="str">
            <v>F4R6</v>
          </cell>
          <cell r="C564">
            <v>0</v>
          </cell>
          <cell r="D564" t="str">
            <v xml:space="preserve"> (4,0cm) FRESAGEM +(6,0cm) CBUQ C/ POLÍMERO</v>
          </cell>
          <cell r="E564" t="str">
            <v>m²</v>
          </cell>
          <cell r="F564">
            <v>68.42892280264482</v>
          </cell>
          <cell r="G564">
            <v>68.42892280264482</v>
          </cell>
          <cell r="H564">
            <v>68.42892280264482</v>
          </cell>
          <cell r="J564">
            <v>71.592933673591688</v>
          </cell>
          <cell r="K564">
            <v>71.592933673591688</v>
          </cell>
          <cell r="L564">
            <v>71.592933673591688</v>
          </cell>
          <cell r="W564" t="str">
            <v>M0874</v>
          </cell>
          <cell r="X564" t="str">
            <v>Pórtico metálico para vão de 24,8 m e vento de 45 m/s</v>
          </cell>
          <cell r="Y564" t="str">
            <v>un</v>
          </cell>
          <cell r="Z564">
            <v>59168.502800000002</v>
          </cell>
          <cell r="AA564">
            <v>0</v>
          </cell>
          <cell r="BC564" t="str">
            <v>E9202</v>
          </cell>
          <cell r="BD564" t="str">
            <v>Plataforma pantográfica montada em caminhão - 115 kW com periculosidade</v>
          </cell>
          <cell r="BE564" t="str">
            <v>h</v>
          </cell>
          <cell r="BF564">
            <v>199.34649999999999</v>
          </cell>
          <cell r="BG564">
            <v>106.5431</v>
          </cell>
        </row>
        <row r="565">
          <cell r="B565" t="str">
            <v>F4R7</v>
          </cell>
          <cell r="C565">
            <v>0</v>
          </cell>
          <cell r="D565" t="str">
            <v xml:space="preserve"> (4,0cm) FRESAGEM +(7,0cm) CBUQ C/ POLÍMERO</v>
          </cell>
          <cell r="E565" t="str">
            <v>m²</v>
          </cell>
          <cell r="F565">
            <v>80.134128609796093</v>
          </cell>
          <cell r="G565">
            <v>80.134128609796093</v>
          </cell>
          <cell r="H565">
            <v>80.134128609796093</v>
          </cell>
          <cell r="J565">
            <v>83.63505471362113</v>
          </cell>
          <cell r="K565">
            <v>83.63505471362113</v>
          </cell>
          <cell r="L565">
            <v>83.63505471362113</v>
          </cell>
          <cell r="W565" t="str">
            <v>M1977</v>
          </cell>
          <cell r="X565" t="str">
            <v>Terminal de ancoragem de defensa metálica em barreira New Jersey (tipo D - NBR 6.971)</v>
          </cell>
          <cell r="Y565" t="str">
            <v>un</v>
          </cell>
          <cell r="Z565">
            <v>213</v>
          </cell>
          <cell r="AA565">
            <v>0</v>
          </cell>
          <cell r="BC565" t="str">
            <v>E9501</v>
          </cell>
          <cell r="BD565" t="str">
            <v>Ventilador axial para ventilação forçada - 30 kW</v>
          </cell>
          <cell r="BE565" t="str">
            <v>h</v>
          </cell>
          <cell r="BF565">
            <v>42.131</v>
          </cell>
          <cell r="BG565">
            <v>27.084199999999999</v>
          </cell>
        </row>
        <row r="566">
          <cell r="B566" t="str">
            <v>F4R8</v>
          </cell>
          <cell r="C566">
            <v>0</v>
          </cell>
          <cell r="D566" t="str">
            <v xml:space="preserve"> (4,0cm) FRESAGEM +(8,0cm) CBUQ C/ POLÍMERO</v>
          </cell>
          <cell r="E566" t="str">
            <v>m²</v>
          </cell>
          <cell r="F566">
            <v>90.46741203923709</v>
          </cell>
          <cell r="G566">
            <v>90.46741203923709</v>
          </cell>
          <cell r="H566">
            <v>90.46741203923709</v>
          </cell>
          <cell r="J566">
            <v>94.287713136216738</v>
          </cell>
          <cell r="K566">
            <v>94.287713136216738</v>
          </cell>
          <cell r="L566">
            <v>94.287713136216738</v>
          </cell>
          <cell r="W566">
            <v>3807864</v>
          </cell>
          <cell r="X566" t="str">
            <v>Chumbador para concreto D = 16 mm tipo tecbolt - fornecimento e instalação</v>
          </cell>
          <cell r="Y566" t="str">
            <v>un</v>
          </cell>
          <cell r="Z566">
            <v>13.34</v>
          </cell>
          <cell r="AA566">
            <v>0</v>
          </cell>
          <cell r="BC566" t="str">
            <v>P9927</v>
          </cell>
          <cell r="BD566" t="str">
            <v>Frentista de túnel com periculosidade</v>
          </cell>
          <cell r="BE566" t="str">
            <v>h</v>
          </cell>
          <cell r="BF566">
            <v>28.303999999999998</v>
          </cell>
          <cell r="BG566">
            <v>0</v>
          </cell>
        </row>
        <row r="567">
          <cell r="B567" t="str">
            <v>F5R5</v>
          </cell>
          <cell r="C567">
            <v>0</v>
          </cell>
          <cell r="D567" t="str">
            <v xml:space="preserve"> (5,0cm) FRESAGEM +(5,0cm) CBUQ C/ POLÍMERO</v>
          </cell>
          <cell r="E567" t="str">
            <v>m²</v>
          </cell>
          <cell r="F567">
            <v>58.963287045197269</v>
          </cell>
          <cell r="G567">
            <v>58.963287045197269</v>
          </cell>
          <cell r="H567">
            <v>58.963287045197269</v>
          </cell>
          <cell r="J567">
            <v>62.061060232433604</v>
          </cell>
          <cell r="K567">
            <v>62.061060232433604</v>
          </cell>
          <cell r="L567">
            <v>62.061060232433604</v>
          </cell>
          <cell r="W567" t="str">
            <v>M0745</v>
          </cell>
          <cell r="X567" t="str">
            <v>Grampo para cerca galvanizado de 1 x 9"</v>
          </cell>
          <cell r="Y567" t="str">
            <v>kg</v>
          </cell>
          <cell r="Z567">
            <v>5.6661999999999999</v>
          </cell>
          <cell r="AA567">
            <v>0</v>
          </cell>
          <cell r="BC567" t="str">
            <v>P9929</v>
          </cell>
          <cell r="BD567" t="str">
            <v>Bombeiro hidráulico com periculosidade</v>
          </cell>
          <cell r="BE567" t="str">
            <v>h</v>
          </cell>
          <cell r="BF567">
            <v>37.094900000000003</v>
          </cell>
          <cell r="BG567">
            <v>0</v>
          </cell>
        </row>
        <row r="568">
          <cell r="B568" t="str">
            <v>LAA</v>
          </cell>
          <cell r="C568">
            <v>0</v>
          </cell>
          <cell r="D568" t="str">
            <v>Lama Asfáltica</v>
          </cell>
          <cell r="E568" t="str">
            <v>m²</v>
          </cell>
          <cell r="F568">
            <v>7.605235627187751</v>
          </cell>
          <cell r="G568">
            <v>7.605235627187751</v>
          </cell>
          <cell r="H568">
            <v>7.605235627187751</v>
          </cell>
          <cell r="J568">
            <v>8.0015168208758496</v>
          </cell>
          <cell r="K568">
            <v>8.0015168208758496</v>
          </cell>
          <cell r="L568">
            <v>8.0015168208758496</v>
          </cell>
          <cell r="W568" t="str">
            <v>M1638</v>
          </cell>
          <cell r="X568" t="str">
            <v>Mourão de madeira - H = 2,10 m e D = 10 cm</v>
          </cell>
          <cell r="Y568" t="str">
            <v>un</v>
          </cell>
          <cell r="Z568">
            <v>14.8</v>
          </cell>
          <cell r="AA568">
            <v>0</v>
          </cell>
          <cell r="BC568" t="str">
            <v>P9930</v>
          </cell>
          <cell r="BD568" t="str">
            <v>Eletricista com periculosidade</v>
          </cell>
          <cell r="BE568" t="str">
            <v>h</v>
          </cell>
          <cell r="BF568">
            <v>32.619100000000003</v>
          </cell>
          <cell r="BG568">
            <v>0</v>
          </cell>
        </row>
        <row r="569">
          <cell r="B569" t="str">
            <v>MICRO</v>
          </cell>
          <cell r="C569">
            <v>0</v>
          </cell>
          <cell r="D569" t="str">
            <v xml:space="preserve"> (1,6cm) MICRO REVESTIMENTO C/ POLÍMERO</v>
          </cell>
          <cell r="E569" t="str">
            <v>m²</v>
          </cell>
          <cell r="F569">
            <v>20.208004561336757</v>
          </cell>
          <cell r="G569">
            <v>20.208004561336757</v>
          </cell>
          <cell r="H569">
            <v>20.208004561336757</v>
          </cell>
          <cell r="J569">
            <v>20.883722641758734</v>
          </cell>
          <cell r="K569">
            <v>20.883722641758734</v>
          </cell>
          <cell r="L569">
            <v>20.883722641758734</v>
          </cell>
          <cell r="W569" t="str">
            <v>M1639</v>
          </cell>
          <cell r="X569" t="str">
            <v>Mourão de madeira - H = 2,20 m e D = 15 cm</v>
          </cell>
          <cell r="Y569" t="str">
            <v>un</v>
          </cell>
          <cell r="Z569">
            <v>37.503599999999999</v>
          </cell>
          <cell r="AA569">
            <v>0</v>
          </cell>
          <cell r="BC569" t="str">
            <v>E9213</v>
          </cell>
          <cell r="BD569" t="str">
            <v>Jumbo eletro-hidráulico com 3 braços - 233 kW com periculosidade</v>
          </cell>
          <cell r="BE569" t="str">
            <v>h</v>
          </cell>
          <cell r="BF569">
            <v>1427.8728000000001</v>
          </cell>
          <cell r="BG569">
            <v>683.17570000000001</v>
          </cell>
        </row>
        <row r="570">
          <cell r="B570" t="str">
            <v>PMF</v>
          </cell>
          <cell r="C570">
            <v>0</v>
          </cell>
          <cell r="D570" t="str">
            <v>PRÉ-MISTURADO A FRIO</v>
          </cell>
          <cell r="E570" t="str">
            <v>m²</v>
          </cell>
          <cell r="F570">
            <v>30.356995493144531</v>
          </cell>
          <cell r="G570">
            <v>30.356995493144531</v>
          </cell>
          <cell r="H570">
            <v>30.356995493144531</v>
          </cell>
          <cell r="J570">
            <v>30.94336941252978</v>
          </cell>
          <cell r="K570">
            <v>30.94336941252978</v>
          </cell>
          <cell r="L570">
            <v>30.94336941252978</v>
          </cell>
          <cell r="W570" t="str">
            <v>M2014</v>
          </cell>
          <cell r="X570" t="str">
            <v xml:space="preserve">Mourão de madeira - H = 2,20 m e D = 10 cm </v>
          </cell>
          <cell r="Y570" t="str">
            <v>un</v>
          </cell>
          <cell r="Z570">
            <v>16.752300000000002</v>
          </cell>
          <cell r="AA570">
            <v>0</v>
          </cell>
          <cell r="BC570" t="str">
            <v>M1664</v>
          </cell>
          <cell r="BD570" t="str">
            <v>Bit rotativo - D = 127 mm</v>
          </cell>
          <cell r="BE570" t="str">
            <v>un</v>
          </cell>
          <cell r="BF570">
            <v>1442.2856999999999</v>
          </cell>
          <cell r="BG570">
            <v>0</v>
          </cell>
        </row>
        <row r="571">
          <cell r="B571" t="str">
            <v>PMF2</v>
          </cell>
          <cell r="C571">
            <v>0</v>
          </cell>
          <cell r="D571" t="str">
            <v>PRÉ-MISTURADO A FRIO</v>
          </cell>
          <cell r="E571" t="str">
            <v>m²</v>
          </cell>
          <cell r="F571">
            <v>28.770286332829812</v>
          </cell>
          <cell r="G571">
            <v>28.770286332829812</v>
          </cell>
          <cell r="H571">
            <v>28.770286332829812</v>
          </cell>
          <cell r="J571">
            <v>29.138988817695669</v>
          </cell>
          <cell r="K571">
            <v>29.138988817695669</v>
          </cell>
          <cell r="L571">
            <v>29.138988817695669</v>
          </cell>
          <cell r="W571" t="str">
            <v>M2119</v>
          </cell>
          <cell r="X571" t="str">
            <v>Mourão de madeira - H = 2,80 m e D = 15 cm</v>
          </cell>
          <cell r="Y571" t="str">
            <v>un</v>
          </cell>
          <cell r="Z571">
            <v>48</v>
          </cell>
          <cell r="AA571">
            <v>0</v>
          </cell>
          <cell r="BC571" t="str">
            <v>M0424</v>
          </cell>
          <cell r="BD571" t="str">
            <v>Cimento Portland CP II - 32</v>
          </cell>
          <cell r="BE571" t="str">
            <v>kg</v>
          </cell>
          <cell r="BF571">
            <v>0.39460000000000001</v>
          </cell>
          <cell r="BG571">
            <v>0</v>
          </cell>
        </row>
        <row r="572">
          <cell r="B572" t="str">
            <v>PMQ</v>
          </cell>
          <cell r="C572">
            <v>0</v>
          </cell>
          <cell r="D572" t="str">
            <v>PRÉ-MISTURADO A QUENTE</v>
          </cell>
          <cell r="E572" t="str">
            <v>m²</v>
          </cell>
          <cell r="F572">
            <v>38.926145263114357</v>
          </cell>
          <cell r="G572">
            <v>38.926145263114357</v>
          </cell>
          <cell r="H572">
            <v>38.926145263114357</v>
          </cell>
          <cell r="J572">
            <v>40.383733467087957</v>
          </cell>
          <cell r="K572">
            <v>40.383733467087957</v>
          </cell>
          <cell r="L572">
            <v>40.383733467087957</v>
          </cell>
          <cell r="W572" t="str">
            <v>E9798</v>
          </cell>
          <cell r="X572" t="str">
            <v>Perfuratriz hidráulica rotopercussiva - 123 kW</v>
          </cell>
          <cell r="Y572" t="str">
            <v>h</v>
          </cell>
          <cell r="Z572">
            <v>276.2835</v>
          </cell>
          <cell r="AA572">
            <v>132.3417</v>
          </cell>
          <cell r="BC572" t="str">
            <v>M1731</v>
          </cell>
          <cell r="BD572" t="str">
            <v>Haste de perfuração simples de jet grouting de 88,9 x 300 mm</v>
          </cell>
          <cell r="BE572" t="str">
            <v>un</v>
          </cell>
          <cell r="BF572">
            <v>1724.1765</v>
          </cell>
          <cell r="BG572">
            <v>0</v>
          </cell>
        </row>
        <row r="573">
          <cell r="B573" t="str">
            <v>R10</v>
          </cell>
          <cell r="C573">
            <v>0</v>
          </cell>
          <cell r="D573" t="str">
            <v xml:space="preserve"> REFORÇO: (10,0cm) CBUQ C/ POLÍMERO</v>
          </cell>
          <cell r="E573" t="str">
            <v>m²</v>
          </cell>
          <cell r="F573">
            <v>107.66338821014526</v>
          </cell>
          <cell r="G573">
            <v>107.66338821014526</v>
          </cell>
          <cell r="H573">
            <v>107.66338821014526</v>
          </cell>
          <cell r="J573">
            <v>111.10989005565786</v>
          </cell>
          <cell r="K573">
            <v>111.10989005565786</v>
          </cell>
          <cell r="L573">
            <v>111.10989005565786</v>
          </cell>
          <cell r="W573" t="str">
            <v>M1869</v>
          </cell>
          <cell r="X573" t="str">
            <v>Bit para martelo de fundo - D = 120 mm</v>
          </cell>
          <cell r="Y573" t="str">
            <v xml:space="preserve">un </v>
          </cell>
          <cell r="Z573">
            <v>1548.4265</v>
          </cell>
          <cell r="AA573">
            <v>0</v>
          </cell>
          <cell r="BC573" t="str">
            <v>M1750</v>
          </cell>
          <cell r="BD573" t="str">
            <v>Hidromonitor com bico de injeção para jet grouting - D = 88,9 mm</v>
          </cell>
          <cell r="BE573" t="str">
            <v>un</v>
          </cell>
          <cell r="BF573">
            <v>10000</v>
          </cell>
          <cell r="BG573">
            <v>0</v>
          </cell>
        </row>
        <row r="574">
          <cell r="B574" t="str">
            <v>R3</v>
          </cell>
          <cell r="C574">
            <v>0</v>
          </cell>
          <cell r="D574" t="str">
            <v xml:space="preserve"> REFORÇO: (3cm) CBUQ C/ POLÍMERO </v>
          </cell>
          <cell r="E574" t="str">
            <v>m²</v>
          </cell>
          <cell r="F574">
            <v>33.958481826347985</v>
          </cell>
          <cell r="G574">
            <v>33.958481826347985</v>
          </cell>
          <cell r="H574">
            <v>33.958481826347985</v>
          </cell>
          <cell r="J574">
            <v>35.151818480054757</v>
          </cell>
          <cell r="K574">
            <v>35.151818480054757</v>
          </cell>
          <cell r="L574">
            <v>35.151818480054757</v>
          </cell>
          <cell r="W574" t="str">
            <v>M1875</v>
          </cell>
          <cell r="X574" t="str">
            <v>Haste de perfuração API - D = 73 mm</v>
          </cell>
          <cell r="Y574" t="str">
            <v>m</v>
          </cell>
          <cell r="Z574">
            <v>795.17949999999996</v>
          </cell>
          <cell r="AA574">
            <v>0</v>
          </cell>
          <cell r="BC574" t="str">
            <v>E9755</v>
          </cell>
          <cell r="BD574" t="str">
            <v>Bomba de alta pressão para jet grouting 450 bar - 150 kW</v>
          </cell>
          <cell r="BE574" t="str">
            <v>h</v>
          </cell>
          <cell r="BF574">
            <v>271.16590000000002</v>
          </cell>
          <cell r="BG574">
            <v>116.9111</v>
          </cell>
        </row>
        <row r="575">
          <cell r="B575" t="str">
            <v>R3,5</v>
          </cell>
          <cell r="C575">
            <v>0</v>
          </cell>
          <cell r="D575" t="str">
            <v xml:space="preserve"> REFORÇO: (3,5cm) CBUQ C/ POLÍMERO</v>
          </cell>
          <cell r="E575" t="str">
            <v>m²</v>
          </cell>
          <cell r="F575">
            <v>39.125123541068483</v>
          </cell>
          <cell r="G575">
            <v>39.125123541068483</v>
          </cell>
          <cell r="H575">
            <v>39.125123541068483</v>
          </cell>
          <cell r="J575">
            <v>40.478147691352568</v>
          </cell>
          <cell r="K575">
            <v>40.478147691352568</v>
          </cell>
          <cell r="L575">
            <v>40.478147691352568</v>
          </cell>
          <cell r="W575" t="str">
            <v>M1874</v>
          </cell>
          <cell r="X575" t="str">
            <v>Martelo de fundo DTH - D = 110 a 130 mm</v>
          </cell>
          <cell r="Y575" t="str">
            <v>un</v>
          </cell>
          <cell r="Z575">
            <v>11609.207899999999</v>
          </cell>
          <cell r="AA575">
            <v>0</v>
          </cell>
          <cell r="BC575" t="str">
            <v>E9768</v>
          </cell>
          <cell r="BD575" t="str">
            <v>Compressor de ar portátil de 778 PCM - 184 kW</v>
          </cell>
          <cell r="BE575" t="str">
            <v>h</v>
          </cell>
          <cell r="BF575">
            <v>145.6206</v>
          </cell>
          <cell r="BG575">
            <v>29.153500000000001</v>
          </cell>
        </row>
        <row r="576">
          <cell r="B576" t="str">
            <v>R3,5-AB</v>
          </cell>
          <cell r="C576">
            <v>0</v>
          </cell>
          <cell r="D576" t="str">
            <v xml:space="preserve"> REFORÇO: (3,5cm) BINDER - Aplicado apenas nos acostamentos (não tem pintura e tachas)</v>
          </cell>
          <cell r="E576" t="str">
            <v>m²</v>
          </cell>
          <cell r="F576">
            <v>33.238436681352518</v>
          </cell>
          <cell r="G576">
            <v>33.238436681352518</v>
          </cell>
          <cell r="H576">
            <v>33.238436681352518</v>
          </cell>
          <cell r="J576">
            <v>34.344975046058671</v>
          </cell>
          <cell r="K576">
            <v>34.344975046058671</v>
          </cell>
          <cell r="L576">
            <v>34.344975046058671</v>
          </cell>
          <cell r="W576" t="str">
            <v>E9646</v>
          </cell>
          <cell r="X576" t="str">
            <v>Compressor de ar portátil de 124 PCM - 27 kW</v>
          </cell>
          <cell r="Y576" t="str">
            <v>h</v>
          </cell>
          <cell r="Z576">
            <v>24.548999999999999</v>
          </cell>
          <cell r="AA576">
            <v>5.9280999999999997</v>
          </cell>
          <cell r="BC576" t="str">
            <v>E9780</v>
          </cell>
          <cell r="BD576" t="str">
            <v>Misturador automático para grouteamento com capacidade de 20 m³/h - 7 kW</v>
          </cell>
          <cell r="BE576" t="str">
            <v>h</v>
          </cell>
          <cell r="BF576">
            <v>112.30419999999999</v>
          </cell>
          <cell r="BG576">
            <v>69.401499999999999</v>
          </cell>
        </row>
        <row r="577">
          <cell r="B577" t="str">
            <v>R3,5-AC</v>
          </cell>
          <cell r="C577">
            <v>0</v>
          </cell>
          <cell r="D577" t="str">
            <v xml:space="preserve"> REFORÇO: (3,5cm) CBUQ C/ POLÍMERO - Aplicado apenas nos acostamentos (não tem pintura e tachas)</v>
          </cell>
          <cell r="E577" t="str">
            <v>m²</v>
          </cell>
          <cell r="F577">
            <v>37.538414380753764</v>
          </cell>
          <cell r="G577">
            <v>37.538414380753764</v>
          </cell>
          <cell r="H577">
            <v>37.538414380753764</v>
          </cell>
          <cell r="J577">
            <v>38.673767096518461</v>
          </cell>
          <cell r="K577">
            <v>38.673767096518461</v>
          </cell>
          <cell r="L577">
            <v>38.673767096518461</v>
          </cell>
          <cell r="W577" t="str">
            <v>M0459</v>
          </cell>
          <cell r="X577" t="str">
            <v>Compensado plastificado de 14 mm</v>
          </cell>
          <cell r="Y577" t="str">
            <v>m²</v>
          </cell>
          <cell r="Z577">
            <v>24.7301</v>
          </cell>
          <cell r="AA577">
            <v>0</v>
          </cell>
          <cell r="BC577" t="str">
            <v>E9068</v>
          </cell>
          <cell r="BD577" t="str">
            <v>Perfuratriz hidráulica rotopercussiva para CCPH - 123 kW</v>
          </cell>
          <cell r="BE577" t="str">
            <v>h</v>
          </cell>
          <cell r="BF577">
            <v>447.24169999999998</v>
          </cell>
          <cell r="BG577">
            <v>227.6857</v>
          </cell>
        </row>
        <row r="578">
          <cell r="B578" t="str">
            <v>R3-AB</v>
          </cell>
          <cell r="C578">
            <v>0</v>
          </cell>
          <cell r="D578" t="str">
            <v xml:space="preserve"> REFORÇO: (3cm) BINDER - Aplicado apenas nos acostamentos (não tem pintura e tachas)</v>
          </cell>
          <cell r="E578" t="str">
            <v>m²</v>
          </cell>
          <cell r="F578">
            <v>25.504863318806343</v>
          </cell>
          <cell r="G578">
            <v>25.504863318806343</v>
          </cell>
          <cell r="H578">
            <v>25.504863318806343</v>
          </cell>
          <cell r="J578">
            <v>26.027556829201146</v>
          </cell>
          <cell r="K578">
            <v>26.027556829201146</v>
          </cell>
          <cell r="L578">
            <v>26.027556829201146</v>
          </cell>
          <cell r="W578" t="str">
            <v>E9787</v>
          </cell>
          <cell r="X578" t="str">
            <v>Bomba para concreto com lança montada sobre chassi com capacidade de 45 m³/h - 136 kW</v>
          </cell>
          <cell r="Y578" t="str">
            <v>h</v>
          </cell>
          <cell r="Z578">
            <v>253.7131</v>
          </cell>
          <cell r="AA578">
            <v>130.99090000000001</v>
          </cell>
          <cell r="BC578" t="str">
            <v>E9513</v>
          </cell>
          <cell r="BD578" t="str">
            <v>Compressor de ar portátil de 340 PCM - 81 kW</v>
          </cell>
          <cell r="BE578" t="str">
            <v>h</v>
          </cell>
          <cell r="BF578">
            <v>65.0655</v>
          </cell>
          <cell r="BG578">
            <v>13.37</v>
          </cell>
        </row>
        <row r="579">
          <cell r="B579" t="str">
            <v>R3-AC</v>
          </cell>
          <cell r="C579">
            <v>0</v>
          </cell>
          <cell r="D579" t="str">
            <v xml:space="preserve"> REFORÇO: (3cm) CBUQ C/ POLÍMERO - Aplicado apenas nos acostamentos (não tem pintura e tachas)</v>
          </cell>
          <cell r="E579" t="str">
            <v>m²</v>
          </cell>
          <cell r="F579">
            <v>32.371772666033266</v>
          </cell>
          <cell r="G579">
            <v>32.371772666033266</v>
          </cell>
          <cell r="H579">
            <v>32.371772666033266</v>
          </cell>
          <cell r="J579">
            <v>33.34743788522065</v>
          </cell>
          <cell r="K579">
            <v>33.34743788522065</v>
          </cell>
          <cell r="L579">
            <v>33.34743788522065</v>
          </cell>
          <cell r="W579">
            <v>5919538</v>
          </cell>
          <cell r="X579" t="str">
            <v>Concreto</v>
          </cell>
          <cell r="Y579" t="str">
            <v>m³</v>
          </cell>
          <cell r="Z579">
            <v>9.67</v>
          </cell>
          <cell r="AA579">
            <v>0</v>
          </cell>
          <cell r="BC579" t="str">
            <v>M2142</v>
          </cell>
          <cell r="BD579" t="str">
            <v>Nonel de coluna com 4,8 m</v>
          </cell>
          <cell r="BE579" t="str">
            <v>un</v>
          </cell>
          <cell r="BF579">
            <v>13.333600000000001</v>
          </cell>
          <cell r="BG579">
            <v>0</v>
          </cell>
        </row>
        <row r="580">
          <cell r="B580" t="str">
            <v>R4</v>
          </cell>
          <cell r="C580">
            <v>0</v>
          </cell>
          <cell r="D580" t="str">
            <v xml:space="preserve"> REFORÇO: (4,0cm) CBUQ C/ POLÍMERO</v>
          </cell>
          <cell r="E580" t="str">
            <v>m²</v>
          </cell>
          <cell r="F580">
            <v>44.291765255788981</v>
          </cell>
          <cell r="G580">
            <v>44.291765255788981</v>
          </cell>
          <cell r="H580">
            <v>44.291765255788981</v>
          </cell>
          <cell r="J580">
            <v>45.804476902650372</v>
          </cell>
          <cell r="K580">
            <v>45.804476902650372</v>
          </cell>
          <cell r="L580">
            <v>45.804476902650372</v>
          </cell>
          <cell r="W580">
            <v>1207708</v>
          </cell>
          <cell r="X580" t="str">
            <v>Concreto fck = 30 MPa para projeção via úmida - confecção em central dosadora de 30 m³/h</v>
          </cell>
          <cell r="Y580" t="str">
            <v>m³</v>
          </cell>
          <cell r="Z580">
            <v>350.14</v>
          </cell>
          <cell r="AA580">
            <v>0</v>
          </cell>
          <cell r="BC580" t="str">
            <v>M1337</v>
          </cell>
          <cell r="BD580" t="str">
            <v>Série de brocas S-11 - D = 22 mm</v>
          </cell>
          <cell r="BE580" t="str">
            <v>un</v>
          </cell>
          <cell r="BF580">
            <v>428.97919999999999</v>
          </cell>
          <cell r="BG580">
            <v>0</v>
          </cell>
        </row>
        <row r="581">
          <cell r="B581" t="str">
            <v>R4,5</v>
          </cell>
          <cell r="C581">
            <v>0</v>
          </cell>
          <cell r="D581" t="str">
            <v xml:space="preserve"> REFORÇO: (4,5cm) CBUQ C/ POLÍMERO</v>
          </cell>
          <cell r="E581" t="str">
            <v>m²</v>
          </cell>
          <cell r="F581">
            <v>49.458406970509486</v>
          </cell>
          <cell r="G581">
            <v>49.458406970509486</v>
          </cell>
          <cell r="H581">
            <v>49.458406970509486</v>
          </cell>
          <cell r="J581">
            <v>51.130806113948182</v>
          </cell>
          <cell r="K581">
            <v>51.130806113948182</v>
          </cell>
          <cell r="L581">
            <v>51.130806113948182</v>
          </cell>
          <cell r="W581" t="str">
            <v>P9885</v>
          </cell>
          <cell r="X581" t="str">
            <v>Frentista de túnel</v>
          </cell>
          <cell r="Y581" t="str">
            <v>h</v>
          </cell>
          <cell r="Z581">
            <v>23.148299999999999</v>
          </cell>
          <cell r="AA581">
            <v>0</v>
          </cell>
          <cell r="BC581" t="str">
            <v>E9783</v>
          </cell>
          <cell r="BD581" t="str">
            <v>Plataforma pantográfica montada em caminhão - 115 kW</v>
          </cell>
          <cell r="BE581" t="str">
            <v>h</v>
          </cell>
          <cell r="BF581">
            <v>186.1815</v>
          </cell>
          <cell r="BG581">
            <v>93.448300000000003</v>
          </cell>
        </row>
        <row r="582">
          <cell r="B582" t="str">
            <v>R4,5-AB</v>
          </cell>
          <cell r="C582">
            <v>0</v>
          </cell>
          <cell r="D582" t="str">
            <v xml:space="preserve"> REFORÇO: (4,5cm) BINDER - Aplicado apenas nos acostamentos (não tem pintura e tachas)</v>
          </cell>
          <cell r="E582" t="str">
            <v>m²</v>
          </cell>
          <cell r="F582">
            <v>42.343155053821732</v>
          </cell>
          <cell r="G582">
            <v>42.343155053821732</v>
          </cell>
          <cell r="H582">
            <v>42.343155053821732</v>
          </cell>
          <cell r="J582">
            <v>43.760835739951489</v>
          </cell>
          <cell r="K582">
            <v>43.760835739951489</v>
          </cell>
          <cell r="L582">
            <v>43.760835739951489</v>
          </cell>
          <cell r="W582" t="str">
            <v>E9790</v>
          </cell>
          <cell r="X582" t="str">
            <v>Bomba para concreto projetado via úmida com capacidade de 10 m³/h - 14,7 kW</v>
          </cell>
          <cell r="Y582" t="str">
            <v>h</v>
          </cell>
          <cell r="Z582">
            <v>65.907899999999998</v>
          </cell>
          <cell r="AA582">
            <v>49.871899999999997</v>
          </cell>
          <cell r="BC582" t="str">
            <v>M2197</v>
          </cell>
          <cell r="BD582" t="str">
            <v>Haste de paredes paralelas com niples linha NW</v>
          </cell>
          <cell r="BE582" t="str">
            <v>m</v>
          </cell>
          <cell r="BF582">
            <v>326.30930000000001</v>
          </cell>
          <cell r="BG582">
            <v>0</v>
          </cell>
        </row>
        <row r="583">
          <cell r="B583" t="str">
            <v>R4,5-AC</v>
          </cell>
          <cell r="C583">
            <v>0</v>
          </cell>
          <cell r="D583" t="str">
            <v xml:space="preserve"> REFORÇO: (4,5cm) CBUQ C/ POLÍMERO - Aplicado apenas nos acostamentos (não tem pintura e tachas)</v>
          </cell>
          <cell r="E583" t="str">
            <v>m²</v>
          </cell>
          <cell r="F583">
            <v>47.871697810194767</v>
          </cell>
          <cell r="G583">
            <v>47.871697810194767</v>
          </cell>
          <cell r="H583">
            <v>47.871697810194767</v>
          </cell>
          <cell r="J583">
            <v>49.326425519114075</v>
          </cell>
          <cell r="K583">
            <v>49.326425519114075</v>
          </cell>
          <cell r="L583">
            <v>49.326425519114075</v>
          </cell>
          <cell r="W583" t="str">
            <v>M0253</v>
          </cell>
          <cell r="X583" t="str">
            <v>Cabo isolado PVC de 16 mm² - 750 V</v>
          </cell>
          <cell r="Y583" t="str">
            <v>m</v>
          </cell>
          <cell r="Z583">
            <v>7.0892999999999997</v>
          </cell>
          <cell r="AA583">
            <v>0</v>
          </cell>
          <cell r="BC583" t="str">
            <v>M2285</v>
          </cell>
          <cell r="BD583" t="str">
            <v>Revestimento com conector linha NW</v>
          </cell>
          <cell r="BE583" t="str">
            <v>m</v>
          </cell>
          <cell r="BF583">
            <v>236.8373</v>
          </cell>
          <cell r="BG583">
            <v>0</v>
          </cell>
        </row>
        <row r="584">
          <cell r="B584" t="str">
            <v>R4-AB</v>
          </cell>
          <cell r="C584">
            <v>0</v>
          </cell>
          <cell r="D584" t="str">
            <v xml:space="preserve"> REFORÇO: (4cm) BINDER - Aplicado apenas nos acostamentos (não tem pintura e tachas)</v>
          </cell>
          <cell r="E584" t="str">
            <v>m²</v>
          </cell>
          <cell r="F584">
            <v>37.790795867587121</v>
          </cell>
          <cell r="G584">
            <v>37.790795867587121</v>
          </cell>
          <cell r="H584">
            <v>37.790795867587121</v>
          </cell>
          <cell r="J584">
            <v>39.052905393005076</v>
          </cell>
          <cell r="K584">
            <v>39.052905393005076</v>
          </cell>
          <cell r="L584">
            <v>39.052905393005076</v>
          </cell>
          <cell r="W584" t="str">
            <v>M0260</v>
          </cell>
          <cell r="X584" t="str">
            <v>Cabo paralelo de 3 x 1,5 mm²</v>
          </cell>
          <cell r="Y584" t="str">
            <v>m</v>
          </cell>
          <cell r="Z584">
            <v>2.1294</v>
          </cell>
          <cell r="AA584">
            <v>0</v>
          </cell>
          <cell r="BC584" t="str">
            <v>M2303</v>
          </cell>
          <cell r="BD584" t="str">
            <v>Sapata de widia linha NW</v>
          </cell>
          <cell r="BE584" t="str">
            <v>un</v>
          </cell>
          <cell r="BF584">
            <v>251.94499999999999</v>
          </cell>
          <cell r="BG584">
            <v>0</v>
          </cell>
        </row>
        <row r="585">
          <cell r="B585" t="str">
            <v>R4-AC</v>
          </cell>
          <cell r="C585">
            <v>0</v>
          </cell>
          <cell r="D585" t="str">
            <v xml:space="preserve"> REFORÇO: (4cm) CBUQ C/ POLÍMERO - Aplicado apenas nos acostamentos (não tem pintura e tachas)</v>
          </cell>
          <cell r="E585" t="str">
            <v>m²</v>
          </cell>
          <cell r="F585">
            <v>42.705056095474262</v>
          </cell>
          <cell r="G585">
            <v>42.705056095474262</v>
          </cell>
          <cell r="H585">
            <v>42.705056095474262</v>
          </cell>
          <cell r="J585">
            <v>44.000096307816264</v>
          </cell>
          <cell r="K585">
            <v>44.000096307816264</v>
          </cell>
          <cell r="L585">
            <v>44.000096307816264</v>
          </cell>
          <cell r="W585" t="str">
            <v>M0266</v>
          </cell>
          <cell r="X585" t="str">
            <v>Cabo Sintenax de 240 mm² - 1 kV</v>
          </cell>
          <cell r="Y585" t="str">
            <v>m</v>
          </cell>
          <cell r="Z585">
            <v>82.309299999999993</v>
          </cell>
          <cell r="AA585">
            <v>0</v>
          </cell>
          <cell r="BC585" t="str">
            <v>M2304</v>
          </cell>
          <cell r="BD585" t="str">
            <v>Tricone de widia com três asas linha NW</v>
          </cell>
          <cell r="BE585" t="str">
            <v>un</v>
          </cell>
          <cell r="BF585">
            <v>703.50419999999997</v>
          </cell>
          <cell r="BG585">
            <v>0</v>
          </cell>
        </row>
        <row r="586">
          <cell r="B586" t="str">
            <v>R5</v>
          </cell>
          <cell r="C586">
            <v>0</v>
          </cell>
          <cell r="D586" t="str">
            <v xml:space="preserve"> REFORÇO: (5,0cm) CBUQ C/ POLÍMERO</v>
          </cell>
          <cell r="E586" t="str">
            <v>m²</v>
          </cell>
          <cell r="F586">
            <v>54.625048685229984</v>
          </cell>
          <cell r="G586">
            <v>54.625048685229984</v>
          </cell>
          <cell r="H586">
            <v>54.625048685229984</v>
          </cell>
          <cell r="J586">
            <v>56.457135325245979</v>
          </cell>
          <cell r="K586">
            <v>56.457135325245979</v>
          </cell>
          <cell r="L586">
            <v>56.457135325245979</v>
          </cell>
          <cell r="W586" t="str">
            <v>M0269</v>
          </cell>
          <cell r="X586" t="str">
            <v>Cabo Sintenax de 50 mm² - 1 kV</v>
          </cell>
          <cell r="Y586" t="str">
            <v>m</v>
          </cell>
          <cell r="Z586">
            <v>18.341100000000001</v>
          </cell>
          <cell r="AA586">
            <v>0</v>
          </cell>
          <cell r="BC586" t="str">
            <v>E9007</v>
          </cell>
          <cell r="BD586" t="str">
            <v>Bomba de pistão triplex com capacidade de 130 l/min - 8,2 kW</v>
          </cell>
          <cell r="BE586" t="str">
            <v>h</v>
          </cell>
          <cell r="BF586">
            <v>10.1455</v>
          </cell>
          <cell r="BG586">
            <v>3.4908000000000001</v>
          </cell>
        </row>
        <row r="587">
          <cell r="B587" t="str">
            <v>R5,5</v>
          </cell>
          <cell r="C587">
            <v>0</v>
          </cell>
          <cell r="D587" t="str">
            <v xml:space="preserve"> REFORÇO: (5,5cm) CBUQ C/ POLÍMERO</v>
          </cell>
          <cell r="E587" t="str">
            <v>m²</v>
          </cell>
          <cell r="F587">
            <v>59.79169039995049</v>
          </cell>
          <cell r="G587">
            <v>59.79169039995049</v>
          </cell>
          <cell r="H587">
            <v>59.79169039995049</v>
          </cell>
          <cell r="J587">
            <v>61.783464536543789</v>
          </cell>
          <cell r="K587">
            <v>61.783464536543789</v>
          </cell>
          <cell r="L587">
            <v>61.783464536543789</v>
          </cell>
          <cell r="W587" t="str">
            <v>M2071</v>
          </cell>
          <cell r="X587" t="str">
            <v>Coroa para jumbo hidráulico T38 - D = 2"</v>
          </cell>
          <cell r="Y587" t="str">
            <v>un</v>
          </cell>
          <cell r="Z587">
            <v>396.4502</v>
          </cell>
          <cell r="AA587">
            <v>0</v>
          </cell>
          <cell r="BC587" t="str">
            <v>E9781</v>
          </cell>
          <cell r="BD587" t="str">
            <v>Misturador com bomba para grouteamento tipo Flex E - 25 kW</v>
          </cell>
          <cell r="BE587" t="str">
            <v>h</v>
          </cell>
          <cell r="BF587">
            <v>97.648899999999998</v>
          </cell>
          <cell r="BG587">
            <v>56.303699999999999</v>
          </cell>
        </row>
        <row r="588">
          <cell r="B588" t="str">
            <v>R5-AB</v>
          </cell>
          <cell r="C588">
            <v>0</v>
          </cell>
          <cell r="D588" t="str">
            <v xml:space="preserve"> REFORÇO: (5cm) BINDER - Aplicado apenas nos acostamentos (não tem pintura e tachas)</v>
          </cell>
          <cell r="E588" t="str">
            <v>m²</v>
          </cell>
          <cell r="F588">
            <v>46.895514240056336</v>
          </cell>
          <cell r="G588">
            <v>46.895514240056336</v>
          </cell>
          <cell r="H588">
            <v>46.895514240056336</v>
          </cell>
          <cell r="J588">
            <v>48.468766086897887</v>
          </cell>
          <cell r="K588">
            <v>48.468766086897887</v>
          </cell>
          <cell r="L588">
            <v>48.468766086897887</v>
          </cell>
          <cell r="W588" t="str">
            <v>M2070</v>
          </cell>
          <cell r="X588" t="str">
            <v>Haste para jumbo hidráulico T38 de 1 1/2" x 4,60 m</v>
          </cell>
          <cell r="Y588" t="str">
            <v>un</v>
          </cell>
          <cell r="Z588">
            <v>1625.3737000000001</v>
          </cell>
          <cell r="AA588">
            <v>0</v>
          </cell>
          <cell r="BC588" t="str">
            <v>M2130</v>
          </cell>
          <cell r="BD588" t="str">
            <v>Eletrodo E70 xx</v>
          </cell>
          <cell r="BE588" t="str">
            <v>kg</v>
          </cell>
          <cell r="BF588">
            <v>20.81</v>
          </cell>
          <cell r="BG588">
            <v>0</v>
          </cell>
        </row>
        <row r="589">
          <cell r="B589" t="str">
            <v>R5-AC</v>
          </cell>
          <cell r="C589">
            <v>0</v>
          </cell>
          <cell r="D589" t="str">
            <v xml:space="preserve"> REFORÇO: (5cm) CBUQ C/ POLÍMERO - Aplicado apenas nos acostamentos (não tem pintura e tachas)</v>
          </cell>
          <cell r="E589" t="str">
            <v>m²</v>
          </cell>
          <cell r="F589">
            <v>53.038339524915266</v>
          </cell>
          <cell r="G589">
            <v>53.038339524915266</v>
          </cell>
          <cell r="H589">
            <v>53.038339524915266</v>
          </cell>
          <cell r="J589">
            <v>54.652754730411871</v>
          </cell>
          <cell r="K589">
            <v>54.652754730411871</v>
          </cell>
          <cell r="L589">
            <v>54.652754730411871</v>
          </cell>
          <cell r="W589" t="str">
            <v>M0868</v>
          </cell>
          <cell r="X589" t="str">
            <v>Lâmpada compacta eletrônica PLE 20 W</v>
          </cell>
          <cell r="Y589" t="str">
            <v>un</v>
          </cell>
          <cell r="Z589">
            <v>8.35</v>
          </cell>
          <cell r="AA589">
            <v>0</v>
          </cell>
          <cell r="BC589" t="str">
            <v>M1735</v>
          </cell>
          <cell r="BD589" t="str">
            <v>Punho de perfuração ST 68 de 80 mm</v>
          </cell>
          <cell r="BE589" t="str">
            <v>un</v>
          </cell>
          <cell r="BF589">
            <v>6105.1643999999997</v>
          </cell>
          <cell r="BG589">
            <v>0</v>
          </cell>
        </row>
        <row r="590">
          <cell r="B590" t="str">
            <v>R6</v>
          </cell>
          <cell r="C590">
            <v>0</v>
          </cell>
          <cell r="D590" t="str">
            <v xml:space="preserve"> REFORÇO: (6,0cm) CBUQ C/ POLÍMERO</v>
          </cell>
          <cell r="E590" t="str">
            <v>m²</v>
          </cell>
          <cell r="F590">
            <v>64.958332114670981</v>
          </cell>
          <cell r="G590">
            <v>64.958332114670981</v>
          </cell>
          <cell r="H590">
            <v>64.958332114670981</v>
          </cell>
          <cell r="J590">
            <v>67.109793747841579</v>
          </cell>
          <cell r="K590">
            <v>67.109793747841579</v>
          </cell>
          <cell r="L590">
            <v>67.109793747841579</v>
          </cell>
          <cell r="W590" t="str">
            <v>M2072</v>
          </cell>
          <cell r="X590" t="str">
            <v>Luva de acoplamento para jumbo T38 - D = 1 1/2"</v>
          </cell>
          <cell r="Y590" t="str">
            <v>un</v>
          </cell>
          <cell r="Z590">
            <v>217.23249999999999</v>
          </cell>
          <cell r="AA590">
            <v>0</v>
          </cell>
          <cell r="BC590" t="str">
            <v>M3220</v>
          </cell>
          <cell r="BD590" t="str">
            <v>Ring bit - D = 104 mm</v>
          </cell>
          <cell r="BE590" t="str">
            <v>un</v>
          </cell>
          <cell r="BF590">
            <v>1099.5427</v>
          </cell>
          <cell r="BG590">
            <v>0</v>
          </cell>
        </row>
        <row r="591">
          <cell r="B591" t="str">
            <v>R6,5</v>
          </cell>
          <cell r="C591">
            <v>0</v>
          </cell>
          <cell r="D591" t="str">
            <v xml:space="preserve"> REFORÇO: (6,5cm) CBUQ C/ POLÍMERO</v>
          </cell>
          <cell r="E591" t="str">
            <v>m²</v>
          </cell>
          <cell r="F591">
            <v>71.496896207101756</v>
          </cell>
          <cell r="G591">
            <v>71.496896207101756</v>
          </cell>
          <cell r="H591">
            <v>71.496896207101756</v>
          </cell>
          <cell r="J591">
            <v>73.825585576573232</v>
          </cell>
          <cell r="K591">
            <v>73.825585576573232</v>
          </cell>
          <cell r="L591">
            <v>73.825585576573232</v>
          </cell>
          <cell r="W591" t="str">
            <v>M1732</v>
          </cell>
          <cell r="X591" t="str">
            <v>Luva para tubo de aço galvanizado BSP classe leve - D = 50 mm</v>
          </cell>
          <cell r="Y591" t="str">
            <v>un</v>
          </cell>
          <cell r="Z591">
            <v>4.8795000000000002</v>
          </cell>
          <cell r="AA591">
            <v>0</v>
          </cell>
          <cell r="BC591" t="str">
            <v>M1765</v>
          </cell>
          <cell r="BD591" t="str">
            <v>Tubo de aço SCH 40 - D = 65 mm</v>
          </cell>
          <cell r="BE591" t="str">
            <v>m</v>
          </cell>
          <cell r="BF591">
            <v>56.115600000000001</v>
          </cell>
          <cell r="BG591">
            <v>0</v>
          </cell>
        </row>
        <row r="592">
          <cell r="B592" t="str">
            <v>R6,5-AB</v>
          </cell>
          <cell r="C592">
            <v>0</v>
          </cell>
          <cell r="D592" t="str">
            <v xml:space="preserve"> REFORÇO: (6,5cm) BINDER - Aplicado apenas nos acostamentos (não tem pintura e tachas)</v>
          </cell>
          <cell r="E592" t="str">
            <v>m²</v>
          </cell>
          <cell r="F592">
            <v>60.552591798760169</v>
          </cell>
          <cell r="G592">
            <v>60.552591798760169</v>
          </cell>
          <cell r="H592">
            <v>60.552591798760169</v>
          </cell>
          <cell r="J592">
            <v>62.592557127737109</v>
          </cell>
          <cell r="K592">
            <v>62.592557127737109</v>
          </cell>
          <cell r="L592">
            <v>62.592557127737109</v>
          </cell>
          <cell r="W592" t="str">
            <v>M2135</v>
          </cell>
          <cell r="X592" t="str">
            <v>Nonel de coluna (túnel)</v>
          </cell>
          <cell r="Y592" t="str">
            <v>un</v>
          </cell>
          <cell r="Z592">
            <v>15.975</v>
          </cell>
          <cell r="AA592">
            <v>0</v>
          </cell>
          <cell r="BC592" t="str">
            <v>M1749</v>
          </cell>
          <cell r="BD592" t="str">
            <v>Tubo de perfuração ST 68 de 87 x 1.830 mm</v>
          </cell>
          <cell r="BE592" t="str">
            <v>un</v>
          </cell>
          <cell r="BF592">
            <v>5732.6565000000001</v>
          </cell>
          <cell r="BG592">
            <v>0</v>
          </cell>
        </row>
        <row r="593">
          <cell r="B593" t="str">
            <v>R6,5-AC</v>
          </cell>
          <cell r="C593">
            <v>0</v>
          </cell>
          <cell r="D593" t="str">
            <v xml:space="preserve"> REFORÇO: (6,5cm) CBUQ C/ POLÍMERO - Aplicado apenas nos acostamentos (não tem pintura e tachas)</v>
          </cell>
          <cell r="E593" t="str">
            <v>m²</v>
          </cell>
          <cell r="F593">
            <v>68.538264669076767</v>
          </cell>
          <cell r="G593">
            <v>68.538264669076767</v>
          </cell>
          <cell r="H593">
            <v>68.538264669076767</v>
          </cell>
          <cell r="J593">
            <v>70.631742364305282</v>
          </cell>
          <cell r="K593">
            <v>70.631742364305282</v>
          </cell>
          <cell r="L593">
            <v>70.631742364305282</v>
          </cell>
          <cell r="W593" t="str">
            <v>M1640</v>
          </cell>
          <cell r="X593" t="str">
            <v>Nonel iniciador com 300 m</v>
          </cell>
          <cell r="Y593" t="str">
            <v>un</v>
          </cell>
          <cell r="Z593">
            <v>320</v>
          </cell>
          <cell r="AA593">
            <v>0</v>
          </cell>
          <cell r="BC593" t="str">
            <v>E9017</v>
          </cell>
          <cell r="BD593" t="str">
            <v>Escavadeira hidráulica sobre esteira com capacidade de 0,4 m³ - 64 kW</v>
          </cell>
          <cell r="BE593" t="str">
            <v>h</v>
          </cell>
          <cell r="BF593">
            <v>129.09909999999999</v>
          </cell>
          <cell r="BG593">
            <v>66.795400000000001</v>
          </cell>
        </row>
        <row r="594">
          <cell r="B594" t="str">
            <v>R7</v>
          </cell>
          <cell r="C594">
            <v>0</v>
          </cell>
          <cell r="D594" t="str">
            <v xml:space="preserve"> REFORÇO: (7,0cm) CBUQ C/ POLÍMERO</v>
          </cell>
          <cell r="E594" t="str">
            <v>m²</v>
          </cell>
          <cell r="F594">
            <v>76.663537921822254</v>
          </cell>
          <cell r="G594">
            <v>76.663537921822254</v>
          </cell>
          <cell r="H594">
            <v>76.663537921822254</v>
          </cell>
          <cell r="J594">
            <v>79.151914787871036</v>
          </cell>
          <cell r="K594">
            <v>79.151914787871036</v>
          </cell>
          <cell r="L594">
            <v>79.151914787871036</v>
          </cell>
          <cell r="W594" t="str">
            <v>M0600</v>
          </cell>
          <cell r="X594" t="str">
            <v>Ponteiro de martelo demolidor de 1,2 m</v>
          </cell>
          <cell r="Y594" t="str">
            <v>un</v>
          </cell>
          <cell r="Z594">
            <v>60.994500000000002</v>
          </cell>
          <cell r="AA594">
            <v>0</v>
          </cell>
          <cell r="BC594" t="str">
            <v>E9784</v>
          </cell>
          <cell r="BD594" t="str">
            <v>Plataforma autopropelida com alcance de 12 m com capacidade de 700 kg - 24 kW</v>
          </cell>
          <cell r="BE594" t="str">
            <v>h</v>
          </cell>
          <cell r="BF594">
            <v>84.963099999999997</v>
          </cell>
          <cell r="BG594">
            <v>49.9831</v>
          </cell>
        </row>
        <row r="595">
          <cell r="B595" t="str">
            <v>R7,5</v>
          </cell>
          <cell r="C595">
            <v>0</v>
          </cell>
          <cell r="D595" t="str">
            <v xml:space="preserve"> REFORÇO: (7,5cm) CBUQ C/ POLÍMERO</v>
          </cell>
          <cell r="E595" t="str">
            <v>m²</v>
          </cell>
          <cell r="F595">
            <v>81.830179636542752</v>
          </cell>
          <cell r="G595">
            <v>81.830179636542752</v>
          </cell>
          <cell r="H595">
            <v>81.830179636542752</v>
          </cell>
          <cell r="J595">
            <v>84.478243999168839</v>
          </cell>
          <cell r="K595">
            <v>84.478243999168839</v>
          </cell>
          <cell r="L595">
            <v>84.478243999168839</v>
          </cell>
          <cell r="W595" t="str">
            <v>M1218</v>
          </cell>
          <cell r="X595" t="str">
            <v>Projetor externo em alumínio fundido para lâmpada até 2.000 W</v>
          </cell>
          <cell r="Y595" t="str">
            <v>un</v>
          </cell>
          <cell r="Z595">
            <v>492.5</v>
          </cell>
          <cell r="AA595">
            <v>0</v>
          </cell>
          <cell r="BC595" t="str">
            <v>M1341</v>
          </cell>
          <cell r="BD595" t="str">
            <v>Parafuso de aço galvanizado sextavado de 5/8 x 4"</v>
          </cell>
          <cell r="BE595" t="str">
            <v>un</v>
          </cell>
          <cell r="BF595">
            <v>2.778</v>
          </cell>
          <cell r="BG595">
            <v>0</v>
          </cell>
        </row>
        <row r="596">
          <cell r="B596" t="str">
            <v>R8</v>
          </cell>
          <cell r="C596">
            <v>0</v>
          </cell>
          <cell r="D596" t="str">
            <v xml:space="preserve"> REFORÇO: (8,0cm) CBUQ C/ POLÍMERO</v>
          </cell>
          <cell r="E596" t="str">
            <v>m²</v>
          </cell>
          <cell r="F596">
            <v>86.99682135126325</v>
          </cell>
          <cell r="G596">
            <v>86.99682135126325</v>
          </cell>
          <cell r="H596">
            <v>86.99682135126325</v>
          </cell>
          <cell r="J596">
            <v>89.804573210466643</v>
          </cell>
          <cell r="K596">
            <v>89.804573210466643</v>
          </cell>
          <cell r="L596">
            <v>89.804573210466643</v>
          </cell>
          <cell r="W596" t="str">
            <v>M2073</v>
          </cell>
          <cell r="X596" t="str">
            <v>Punho para jumbo hidráulico T38 - D = 1 1/2"</v>
          </cell>
          <cell r="Y596" t="str">
            <v>un</v>
          </cell>
          <cell r="Z596">
            <v>1039.2985000000001</v>
          </cell>
          <cell r="AA596">
            <v>0</v>
          </cell>
          <cell r="BC596" t="str">
            <v>E9775</v>
          </cell>
          <cell r="BD596" t="str">
            <v>Escavadeira hidráulica com martelo hidráulico de 1.700 kg - 103 kW</v>
          </cell>
          <cell r="BE596" t="str">
            <v>h</v>
          </cell>
          <cell r="BF596">
            <v>352.7783</v>
          </cell>
          <cell r="BG596">
            <v>160.3494</v>
          </cell>
        </row>
        <row r="597">
          <cell r="B597" t="str">
            <v>R9</v>
          </cell>
          <cell r="C597">
            <v>0</v>
          </cell>
          <cell r="D597" t="str">
            <v xml:space="preserve"> REFORÇO: (9,0cm) CBUQ C/ POLÍMERO</v>
          </cell>
          <cell r="E597" t="str">
            <v>m²</v>
          </cell>
          <cell r="F597">
            <v>97.330104780704261</v>
          </cell>
          <cell r="G597">
            <v>97.330104780704261</v>
          </cell>
          <cell r="H597">
            <v>97.330104780704261</v>
          </cell>
          <cell r="J597">
            <v>100.45723163306226</v>
          </cell>
          <cell r="K597">
            <v>100.45723163306226</v>
          </cell>
          <cell r="L597">
            <v>100.45723163306226</v>
          </cell>
          <cell r="W597" t="str">
            <v>M1614</v>
          </cell>
          <cell r="X597" t="str">
            <v>Tubo de aço galvanizado BSP classe leve - D = 50 mm</v>
          </cell>
          <cell r="Y597" t="str">
            <v>m</v>
          </cell>
          <cell r="Z597">
            <v>33.75</v>
          </cell>
          <cell r="AA597">
            <v>0</v>
          </cell>
          <cell r="BC597" t="str">
            <v>M0202</v>
          </cell>
          <cell r="BD597" t="str">
            <v>Bit de botão ST 68 - D = 76 mm</v>
          </cell>
          <cell r="BE597" t="str">
            <v>un</v>
          </cell>
          <cell r="BF597">
            <v>2818.02</v>
          </cell>
          <cell r="BG597">
            <v>0</v>
          </cell>
        </row>
        <row r="598">
          <cell r="B598" t="str">
            <v>RPS</v>
          </cell>
          <cell r="C598">
            <v>0</v>
          </cell>
          <cell r="D598" t="str">
            <v xml:space="preserve"> (4,0cm) FRESAGEM +(4,0cm) CBUQ C/ POLÍMERO</v>
          </cell>
          <cell r="E598" t="str">
            <v>m²</v>
          </cell>
          <cell r="F598">
            <v>47.762355943762813</v>
          </cell>
          <cell r="G598">
            <v>47.762355943762813</v>
          </cell>
          <cell r="H598">
            <v>47.762355943762813</v>
          </cell>
          <cell r="J598">
            <v>50.287616828400473</v>
          </cell>
          <cell r="K598">
            <v>50.287616828400473</v>
          </cell>
          <cell r="L598">
            <v>50.287616828400473</v>
          </cell>
          <cell r="W598" t="str">
            <v>M1702</v>
          </cell>
          <cell r="X598" t="str">
            <v>Tubo de ventilação flexível com acessórios - D = 1,2 m</v>
          </cell>
          <cell r="Y598" t="str">
            <v>m</v>
          </cell>
          <cell r="Z598">
            <v>104.0455</v>
          </cell>
          <cell r="AA598">
            <v>0</v>
          </cell>
          <cell r="BC598" t="str">
            <v>M0161</v>
          </cell>
          <cell r="BD598" t="str">
            <v>Vergalhão de fibra de vidro de 25 mm</v>
          </cell>
          <cell r="BE598" t="str">
            <v>m</v>
          </cell>
          <cell r="BF598">
            <v>30.91</v>
          </cell>
          <cell r="BG598">
            <v>0</v>
          </cell>
        </row>
        <row r="599">
          <cell r="B599" t="str">
            <v>ST</v>
          </cell>
          <cell r="C599">
            <v>0</v>
          </cell>
          <cell r="D599" t="str">
            <v>Selagem de trincas com mastique asfáltico</v>
          </cell>
          <cell r="E599" t="str">
            <v>m²</v>
          </cell>
          <cell r="F599">
            <v>38.430185974999993</v>
          </cell>
          <cell r="G599">
            <v>38.430185974999993</v>
          </cell>
          <cell r="H599">
            <v>38.430185974999993</v>
          </cell>
          <cell r="J599">
            <v>38.010621237499997</v>
          </cell>
          <cell r="K599">
            <v>38.010621237499997</v>
          </cell>
          <cell r="L599">
            <v>38.010621237499997</v>
          </cell>
          <cell r="W599" t="str">
            <v>E9630</v>
          </cell>
          <cell r="X599" t="str">
            <v>Bomba submersível com capacidade de 75 m³/h - 3,6 kW</v>
          </cell>
          <cell r="Y599" t="str">
            <v>h</v>
          </cell>
          <cell r="Z599">
            <v>0.4975</v>
          </cell>
          <cell r="AA599">
            <v>0.29020000000000001</v>
          </cell>
          <cell r="BC599" t="str">
            <v>E9661</v>
          </cell>
          <cell r="BD599" t="str">
            <v>Compressor de ar portátil de 189 PCM - 46 kW</v>
          </cell>
          <cell r="BE599" t="str">
            <v>h</v>
          </cell>
          <cell r="BF599">
            <v>42.842500000000001</v>
          </cell>
          <cell r="BG599">
            <v>10.8805</v>
          </cell>
        </row>
        <row r="600">
          <cell r="B600" t="str">
            <v>TB</v>
          </cell>
          <cell r="C600">
            <v>0</v>
          </cell>
          <cell r="D600" t="str">
            <v>Tapa Buraco</v>
          </cell>
          <cell r="E600" t="str">
            <v>m²</v>
          </cell>
          <cell r="F600">
            <v>68.770395492826978</v>
          </cell>
          <cell r="G600">
            <v>68.770395492826978</v>
          </cell>
          <cell r="H600">
            <v>68.770395492826978</v>
          </cell>
          <cell r="J600">
            <v>69.810077323167263</v>
          </cell>
          <cell r="K600">
            <v>69.810077323167263</v>
          </cell>
          <cell r="L600">
            <v>69.810077323167263</v>
          </cell>
          <cell r="W600" t="str">
            <v>E9201</v>
          </cell>
          <cell r="X600" t="str">
            <v>Caminhão basculante para rocha com capacidade de 12 m³ - 188 kW com periculosidade</v>
          </cell>
          <cell r="Y600" t="str">
            <v>h</v>
          </cell>
          <cell r="Z600">
            <v>189.03219999999999</v>
          </cell>
          <cell r="AA600">
            <v>65.5291</v>
          </cell>
          <cell r="BC600" t="str">
            <v>E9782</v>
          </cell>
          <cell r="BD600" t="str">
            <v>Perfuratriz pneumática com avanço de coluna de 33,5 kg</v>
          </cell>
          <cell r="BE600" t="str">
            <v>h</v>
          </cell>
          <cell r="BF600">
            <v>28.751000000000001</v>
          </cell>
          <cell r="BG600">
            <v>25.356100000000001</v>
          </cell>
        </row>
        <row r="601">
          <cell r="B601" t="str">
            <v>TSD</v>
          </cell>
          <cell r="C601">
            <v>0</v>
          </cell>
          <cell r="D601" t="str">
            <v>Tratamento Superficial Duplo</v>
          </cell>
          <cell r="E601" t="str">
            <v>m²</v>
          </cell>
          <cell r="F601">
            <v>18.096552905457528</v>
          </cell>
          <cell r="G601">
            <v>18.096552905457528</v>
          </cell>
          <cell r="H601">
            <v>18.096552905457528</v>
          </cell>
          <cell r="J601">
            <v>19.064866401700595</v>
          </cell>
          <cell r="K601">
            <v>19.064866401700595</v>
          </cell>
          <cell r="L601">
            <v>19.064866401700595</v>
          </cell>
          <cell r="W601" t="str">
            <v>E9200</v>
          </cell>
          <cell r="X601" t="str">
            <v>Carregadeira de pneus com capacidade 3,3 m³ - 213 kW com periculosidade</v>
          </cell>
          <cell r="Y601" t="str">
            <v>h</v>
          </cell>
          <cell r="Z601">
            <v>327.22460000000001</v>
          </cell>
          <cell r="AA601">
            <v>137.92500000000001</v>
          </cell>
          <cell r="BC601" t="str">
            <v>M1720</v>
          </cell>
          <cell r="BD601" t="str">
            <v>Geotêxtil não-tecido agulhado RT 10</v>
          </cell>
          <cell r="BE601" t="str">
            <v>m²</v>
          </cell>
          <cell r="BF601">
            <v>4.2053000000000003</v>
          </cell>
          <cell r="BG601">
            <v>0</v>
          </cell>
        </row>
        <row r="602">
          <cell r="B602" t="str">
            <v>CPU-PAV1</v>
          </cell>
          <cell r="C602">
            <v>0</v>
          </cell>
          <cell r="D602" t="str">
            <v>Pavimento - Faixa de Rolamento</v>
          </cell>
          <cell r="E602" t="str">
            <v>m²</v>
          </cell>
          <cell r="F602">
            <v>113.61797041872642</v>
          </cell>
          <cell r="G602">
            <v>113.61797041872642</v>
          </cell>
          <cell r="H602">
            <v>113.61797041872642</v>
          </cell>
          <cell r="J602">
            <v>124.25738569134879</v>
          </cell>
          <cell r="K602">
            <v>124.25738569134879</v>
          </cell>
          <cell r="L602">
            <v>124.25738569134879</v>
          </cell>
          <cell r="W602" t="str">
            <v>E9203</v>
          </cell>
          <cell r="X602" t="str">
            <v>Escavadeira hidráulica com martelo hidráulico de 1.700 kg - 103 kW com periculosidade</v>
          </cell>
          <cell r="Y602" t="str">
            <v>h</v>
          </cell>
          <cell r="Z602">
            <v>363.2201</v>
          </cell>
          <cell r="AA602">
            <v>169.50569999999999</v>
          </cell>
          <cell r="BC602" t="str">
            <v>M1665</v>
          </cell>
          <cell r="BD602" t="str">
            <v>Tubo de PVC roscável de 1 1/2"</v>
          </cell>
          <cell r="BE602" t="str">
            <v>m</v>
          </cell>
          <cell r="BF602">
            <v>13.9391</v>
          </cell>
          <cell r="BG602">
            <v>0</v>
          </cell>
        </row>
        <row r="603">
          <cell r="B603" t="str">
            <v>CPU-PAV2</v>
          </cell>
          <cell r="C603">
            <v>0</v>
          </cell>
          <cell r="D603" t="str">
            <v>Pavimento - Acostamento</v>
          </cell>
          <cell r="E603" t="str">
            <v>m²</v>
          </cell>
          <cell r="F603">
            <v>153.60409477541782</v>
          </cell>
          <cell r="G603">
            <v>153.60409477541782</v>
          </cell>
          <cell r="H603">
            <v>153.60409477541782</v>
          </cell>
          <cell r="J603">
            <v>165.35903153819999</v>
          </cell>
          <cell r="K603">
            <v>165.35903153819999</v>
          </cell>
          <cell r="L603">
            <v>165.35903153819999</v>
          </cell>
          <cell r="W603" t="str">
            <v>E9213</v>
          </cell>
          <cell r="X603" t="str">
            <v>Jumbo eletro-hidráulico com 3 braços - 233 kW com periculosidade</v>
          </cell>
          <cell r="Y603" t="str">
            <v>h</v>
          </cell>
          <cell r="Z603">
            <v>1429.3782000000001</v>
          </cell>
          <cell r="AA603">
            <v>682.50869999999998</v>
          </cell>
          <cell r="BC603" t="str">
            <v>P9847</v>
          </cell>
          <cell r="BD603" t="str">
            <v>Perfurador de tubulão</v>
          </cell>
          <cell r="BE603" t="str">
            <v>h</v>
          </cell>
          <cell r="BF603">
            <v>22.652699999999999</v>
          </cell>
          <cell r="BG603">
            <v>0</v>
          </cell>
        </row>
        <row r="604">
          <cell r="B604" t="str">
            <v>CPU-PAV3</v>
          </cell>
          <cell r="C604">
            <v>0</v>
          </cell>
          <cell r="D604" t="str">
            <v>Pavimento - Acostamento</v>
          </cell>
          <cell r="E604" t="str">
            <v>m²</v>
          </cell>
          <cell r="F604">
            <v>176.73001876329678</v>
          </cell>
          <cell r="G604">
            <v>176.73001876329678</v>
          </cell>
          <cell r="H604">
            <v>176.73001876329678</v>
          </cell>
          <cell r="J604">
            <v>189.03129207599832</v>
          </cell>
          <cell r="K604">
            <v>189.03129207599832</v>
          </cell>
          <cell r="L604">
            <v>189.03129207599832</v>
          </cell>
          <cell r="W604" t="str">
            <v>E9202</v>
          </cell>
          <cell r="X604" t="str">
            <v>Plataforma pantográfica montada em caminhão - 115 kW com periculosidade</v>
          </cell>
          <cell r="Y604" t="str">
            <v>h</v>
          </cell>
          <cell r="Z604">
            <v>206.62979999999999</v>
          </cell>
          <cell r="AA604">
            <v>112.8133</v>
          </cell>
          <cell r="BC604" t="str">
            <v>E9019</v>
          </cell>
          <cell r="BD604" t="str">
            <v>Câmara hiperbárica com filtro, serpentina e reservatório de ar - D = 1,80 m e H = 2 m</v>
          </cell>
          <cell r="BE604" t="str">
            <v>h</v>
          </cell>
          <cell r="BF604">
            <v>51.173900000000003</v>
          </cell>
          <cell r="BG604">
            <v>38.308399999999999</v>
          </cell>
        </row>
        <row r="605">
          <cell r="B605" t="str">
            <v>CPU-PAV4</v>
          </cell>
          <cell r="C605">
            <v>0</v>
          </cell>
          <cell r="D605" t="str">
            <v>Pavimento - Acostamento</v>
          </cell>
          <cell r="E605" t="str">
            <v>m²</v>
          </cell>
          <cell r="F605">
            <v>225.06751311410423</v>
          </cell>
          <cell r="G605">
            <v>225.06751311410423</v>
          </cell>
          <cell r="H605">
            <v>225.06751311410423</v>
          </cell>
          <cell r="J605">
            <v>239.21206526011872</v>
          </cell>
          <cell r="K605">
            <v>239.21206526011872</v>
          </cell>
          <cell r="L605">
            <v>239.21206526011872</v>
          </cell>
          <cell r="W605" t="str">
            <v>E9501</v>
          </cell>
          <cell r="X605" t="str">
            <v>Ventilador axial para ventilação forçada - 30 kW</v>
          </cell>
          <cell r="Y605" t="str">
            <v>h</v>
          </cell>
          <cell r="Z605">
            <v>42.1173</v>
          </cell>
          <cell r="AA605">
            <v>27.075399999999998</v>
          </cell>
          <cell r="BC605" t="str">
            <v>E9659</v>
          </cell>
          <cell r="BD605" t="str">
            <v>Campânula de ar comprimido com capacidade de 3 m³</v>
          </cell>
          <cell r="BE605" t="str">
            <v>h</v>
          </cell>
          <cell r="BF605">
            <v>33.935499999999998</v>
          </cell>
          <cell r="BG605">
            <v>30.210899999999999</v>
          </cell>
        </row>
        <row r="606">
          <cell r="B606" t="str">
            <v>CPU-PAV5</v>
          </cell>
          <cell r="C606">
            <v>0</v>
          </cell>
          <cell r="D606" t="str">
            <v>Pavimento - Acostamento</v>
          </cell>
          <cell r="E606" t="str">
            <v>m²</v>
          </cell>
          <cell r="F606">
            <v>227.34804734056416</v>
          </cell>
          <cell r="G606">
            <v>227.34804734056416</v>
          </cell>
          <cell r="H606">
            <v>227.34804734056416</v>
          </cell>
          <cell r="J606">
            <v>241.96495164125599</v>
          </cell>
          <cell r="K606">
            <v>241.96495164125599</v>
          </cell>
          <cell r="L606">
            <v>241.96495164125599</v>
          </cell>
          <cell r="W606" t="str">
            <v>P9807</v>
          </cell>
          <cell r="X606" t="str">
            <v>Bombeiro hidráulico</v>
          </cell>
          <cell r="Y606" t="str">
            <v>h</v>
          </cell>
          <cell r="Z606">
            <v>31.406199999999998</v>
          </cell>
          <cell r="AA606">
            <v>0</v>
          </cell>
          <cell r="BC606" t="str">
            <v>P9835</v>
          </cell>
          <cell r="BD606" t="str">
            <v>Perfurador de tubulão a ar comprimido com insalubridade</v>
          </cell>
          <cell r="BE606" t="str">
            <v>h</v>
          </cell>
          <cell r="BF606">
            <v>26.329599999999999</v>
          </cell>
          <cell r="BG606">
            <v>0</v>
          </cell>
        </row>
        <row r="607">
          <cell r="B607" t="str">
            <v>CPU-AC1</v>
          </cell>
          <cell r="C607">
            <v>0</v>
          </cell>
          <cell r="D607" t="str">
            <v>Pavimento - Acostamento</v>
          </cell>
          <cell r="E607" t="str">
            <v>m²</v>
          </cell>
          <cell r="F607">
            <v>96.754228304951184</v>
          </cell>
          <cell r="G607">
            <v>96.754228304951184</v>
          </cell>
          <cell r="H607">
            <v>96.754228304951184</v>
          </cell>
          <cell r="J607">
            <v>107.29595052312769</v>
          </cell>
          <cell r="K607">
            <v>107.29595052312769</v>
          </cell>
          <cell r="L607">
            <v>107.29595052312769</v>
          </cell>
          <cell r="W607" t="str">
            <v>P9810</v>
          </cell>
          <cell r="X607" t="str">
            <v>Eletricista</v>
          </cell>
          <cell r="Y607" t="str">
            <v>h</v>
          </cell>
          <cell r="Z607">
            <v>26.956800000000001</v>
          </cell>
          <cell r="AA607">
            <v>0</v>
          </cell>
          <cell r="BC607" t="str">
            <v>M2024</v>
          </cell>
          <cell r="BD607" t="str">
            <v>Cordel detonante NP10</v>
          </cell>
          <cell r="BE607" t="str">
            <v>h</v>
          </cell>
          <cell r="BF607">
            <v>1.4545999999999999</v>
          </cell>
          <cell r="BG607">
            <v>0</v>
          </cell>
        </row>
        <row r="608">
          <cell r="B608" t="str">
            <v>CPU-AC2</v>
          </cell>
          <cell r="C608">
            <v>0</v>
          </cell>
          <cell r="D608" t="str">
            <v>Pavimento - Acostamento</v>
          </cell>
          <cell r="E608" t="str">
            <v>m²</v>
          </cell>
          <cell r="F608">
            <v>110.00882029395866</v>
          </cell>
          <cell r="G608">
            <v>110.00882029395866</v>
          </cell>
          <cell r="H608">
            <v>110.00882029395866</v>
          </cell>
          <cell r="J608">
            <v>121.3848117920561</v>
          </cell>
          <cell r="K608">
            <v>121.3848117920561</v>
          </cell>
          <cell r="L608">
            <v>121.3848117920561</v>
          </cell>
          <cell r="W608" t="str">
            <v>P9927</v>
          </cell>
          <cell r="X608" t="str">
            <v>Frentista de túnel com periculosidade</v>
          </cell>
          <cell r="Y608" t="str">
            <v>h</v>
          </cell>
          <cell r="Z608">
            <v>28.119599999999998</v>
          </cell>
          <cell r="AA608">
            <v>0</v>
          </cell>
          <cell r="BC608" t="str">
            <v>M0015</v>
          </cell>
          <cell r="BD608" t="str">
            <v>Espoleta elétrica</v>
          </cell>
          <cell r="BE608" t="str">
            <v>h</v>
          </cell>
          <cell r="BF608">
            <v>16.62</v>
          </cell>
          <cell r="BG608">
            <v>0</v>
          </cell>
        </row>
        <row r="609">
          <cell r="B609" t="str">
            <v>CPU-AC3</v>
          </cell>
          <cell r="C609">
            <v>0</v>
          </cell>
          <cell r="D609" t="str">
            <v>Pavimento - Acostamento</v>
          </cell>
          <cell r="E609" t="str">
            <v>m²</v>
          </cell>
          <cell r="F609">
            <v>120.85205181690621</v>
          </cell>
          <cell r="G609">
            <v>120.85205181690621</v>
          </cell>
          <cell r="H609">
            <v>120.85205181690621</v>
          </cell>
          <cell r="J609">
            <v>132.66960121857556</v>
          </cell>
          <cell r="K609">
            <v>132.66960121857556</v>
          </cell>
          <cell r="L609">
            <v>132.66960121857556</v>
          </cell>
          <cell r="W609" t="str">
            <v>P9929</v>
          </cell>
          <cell r="X609" t="str">
            <v>Bombeiro hidráulico com periculosidade</v>
          </cell>
          <cell r="Y609" t="str">
            <v>h</v>
          </cell>
          <cell r="Z609">
            <v>38.758200000000002</v>
          </cell>
          <cell r="AA609">
            <v>0</v>
          </cell>
          <cell r="BC609" t="str">
            <v>E9590</v>
          </cell>
          <cell r="BD609" t="str">
            <v>Central de concreto com capacidade de 40 m³/h - dosadora fixa</v>
          </cell>
          <cell r="BE609" t="str">
            <v>h</v>
          </cell>
          <cell r="BF609">
            <v>69.119200000000006</v>
          </cell>
          <cell r="BG609">
            <v>57.341900000000003</v>
          </cell>
        </row>
        <row r="610">
          <cell r="B610" t="str">
            <v>CPU-AC4</v>
          </cell>
          <cell r="C610">
            <v>0</v>
          </cell>
          <cell r="D610" t="str">
            <v>Pavimento - Acostamento</v>
          </cell>
          <cell r="E610" t="str">
            <v>m²</v>
          </cell>
          <cell r="F610">
            <v>131.99248415118586</v>
          </cell>
          <cell r="G610">
            <v>131.99248415118586</v>
          </cell>
          <cell r="H610">
            <v>131.99248415118586</v>
          </cell>
          <cell r="J610">
            <v>145.58405176783094</v>
          </cell>
          <cell r="K610">
            <v>145.58405176783094</v>
          </cell>
          <cell r="L610">
            <v>145.58405176783094</v>
          </cell>
          <cell r="W610" t="str">
            <v>P9930</v>
          </cell>
          <cell r="X610" t="str">
            <v>Eletricista com periculosidade</v>
          </cell>
          <cell r="Y610" t="str">
            <v>h</v>
          </cell>
          <cell r="Z610">
            <v>33.027999999999999</v>
          </cell>
          <cell r="AA610">
            <v>0</v>
          </cell>
          <cell r="BC610" t="str">
            <v>M1954</v>
          </cell>
          <cell r="BD610" t="str">
            <v>Cimento Portland CP II - 32 a granel</v>
          </cell>
          <cell r="BE610" t="str">
            <v>kg</v>
          </cell>
          <cell r="BF610">
            <v>0.29599999999999999</v>
          </cell>
          <cell r="BG610">
            <v>0</v>
          </cell>
        </row>
        <row r="611">
          <cell r="B611" t="str">
            <v>CPU-AC5</v>
          </cell>
          <cell r="C611">
            <v>0</v>
          </cell>
          <cell r="D611" t="str">
            <v>Pavimento - Acostamento</v>
          </cell>
          <cell r="E611" t="str">
            <v>m²</v>
          </cell>
          <cell r="F611">
            <v>168.87784800843619</v>
          </cell>
          <cell r="G611">
            <v>168.87784800843619</v>
          </cell>
          <cell r="H611">
            <v>168.87784800843619</v>
          </cell>
          <cell r="J611">
            <v>183.46197918390908</v>
          </cell>
          <cell r="K611">
            <v>183.46197918390908</v>
          </cell>
          <cell r="L611">
            <v>183.46197918390908</v>
          </cell>
          <cell r="W611" t="str">
            <v>M1664</v>
          </cell>
          <cell r="X611" t="str">
            <v>Bit rotativo - D = 127 mm</v>
          </cell>
          <cell r="Y611" t="str">
            <v>un</v>
          </cell>
          <cell r="Z611">
            <v>1444.9483</v>
          </cell>
          <cell r="AA611">
            <v>0</v>
          </cell>
          <cell r="BC611" t="str">
            <v>M0446</v>
          </cell>
          <cell r="BD611" t="str">
            <v>Compensado resinado de 10 mm</v>
          </cell>
          <cell r="BE611" t="str">
            <v>m²</v>
          </cell>
          <cell r="BF611">
            <v>13.5265</v>
          </cell>
          <cell r="BG611">
            <v>0</v>
          </cell>
        </row>
        <row r="612">
          <cell r="B612" t="str">
            <v>CPU-PAV6</v>
          </cell>
          <cell r="C612">
            <v>0</v>
          </cell>
          <cell r="D612" t="str">
            <v>PAVIMENTO TIPO 6 - PISTA</v>
          </cell>
          <cell r="E612" t="str">
            <v>m²</v>
          </cell>
          <cell r="F612">
            <v>394.40215249937955</v>
          </cell>
          <cell r="G612">
            <v>394.40215249937955</v>
          </cell>
          <cell r="H612">
            <v>394.40215249937955</v>
          </cell>
          <cell r="J612">
            <v>410.57087254128675</v>
          </cell>
          <cell r="K612">
            <v>410.57087254128675</v>
          </cell>
          <cell r="L612">
            <v>410.57087254128675</v>
          </cell>
          <cell r="W612" t="str">
            <v>M1731</v>
          </cell>
          <cell r="X612" t="str">
            <v>Haste de perfuração simples de jet grouting de 88,9 x 300 mm</v>
          </cell>
          <cell r="Y612" t="str">
            <v>un</v>
          </cell>
          <cell r="Z612">
            <v>1725.5614</v>
          </cell>
          <cell r="AA612">
            <v>0</v>
          </cell>
          <cell r="BC612" t="str">
            <v>M1955</v>
          </cell>
          <cell r="BD612" t="str">
            <v>Cimento asfáltico CAP 50/70 com polímero</v>
          </cell>
          <cell r="BE612" t="str">
            <v>t</v>
          </cell>
          <cell r="BF612">
            <v>0</v>
          </cell>
          <cell r="BG612">
            <v>0</v>
          </cell>
        </row>
        <row r="613">
          <cell r="B613">
            <v>1207711</v>
          </cell>
          <cell r="D613" t="str">
            <v>Contenção com concreto projetado</v>
          </cell>
          <cell r="E613" t="str">
            <v>m²</v>
          </cell>
          <cell r="F613">
            <v>616.58882698412697</v>
          </cell>
          <cell r="G613">
            <v>616.58882698412697</v>
          </cell>
          <cell r="H613">
            <v>616.58882698412697</v>
          </cell>
          <cell r="I613">
            <v>0</v>
          </cell>
          <cell r="J613">
            <v>628.71611904761903</v>
          </cell>
          <cell r="K613">
            <v>628.71611904761903</v>
          </cell>
          <cell r="L613">
            <v>628.71611904761903</v>
          </cell>
          <cell r="W613" t="str">
            <v>M1750</v>
          </cell>
          <cell r="X613" t="str">
            <v>Hidromonitor com bico de injeção para jet grouting - D = 88,9 mm</v>
          </cell>
          <cell r="Y613" t="str">
            <v>un</v>
          </cell>
          <cell r="Z613">
            <v>10000</v>
          </cell>
          <cell r="AA613">
            <v>0</v>
          </cell>
          <cell r="BC613">
            <v>5519542</v>
          </cell>
          <cell r="BD613" t="str">
            <v>Material de 3ª categoria, rocha ou matacão - Caminhão basculante para rocha 8 m³</v>
          </cell>
          <cell r="BE613" t="str">
            <v>m³</v>
          </cell>
          <cell r="BF613">
            <v>0</v>
          </cell>
          <cell r="BG613">
            <v>0</v>
          </cell>
        </row>
        <row r="614">
          <cell r="B614">
            <v>5406030</v>
          </cell>
          <cell r="D614" t="str">
            <v>Terra Armada</v>
          </cell>
          <cell r="E614" t="str">
            <v>m²</v>
          </cell>
          <cell r="F614">
            <v>352.3497561370001</v>
          </cell>
          <cell r="G614">
            <v>352.3497561370001</v>
          </cell>
          <cell r="H614">
            <v>352.3497561370001</v>
          </cell>
          <cell r="I614">
            <v>0</v>
          </cell>
          <cell r="J614">
            <v>363.95931355700003</v>
          </cell>
          <cell r="K614">
            <v>363.95931355700003</v>
          </cell>
          <cell r="L614">
            <v>363.95931355700003</v>
          </cell>
          <cell r="W614" t="str">
            <v>E9755</v>
          </cell>
          <cell r="X614" t="str">
            <v>Bomba de alta pressão para jet grouting 450 bar - 150 kW</v>
          </cell>
          <cell r="Y614" t="str">
            <v>h</v>
          </cell>
          <cell r="Z614">
            <v>279.24459999999999</v>
          </cell>
          <cell r="AA614">
            <v>123.62649999999999</v>
          </cell>
          <cell r="BC614">
            <v>5914657</v>
          </cell>
          <cell r="BD614" t="str">
            <v>Carga, manobra e descarga de material de 3ª categoria solto em caminhão basculante de 8 m³ - com retroescavadeira</v>
          </cell>
          <cell r="BE614" t="str">
            <v>t</v>
          </cell>
          <cell r="BF614">
            <v>83.12</v>
          </cell>
          <cell r="BG614">
            <v>0</v>
          </cell>
        </row>
        <row r="615">
          <cell r="B615">
            <v>6817890</v>
          </cell>
          <cell r="D615" t="str">
            <v xml:space="preserve">Corpo BSCC - seção 2,0 x 2,0 m canal - pré-moldado - tipo I - areia extraída e brita produzida </v>
          </cell>
          <cell r="E615" t="str">
            <v>m</v>
          </cell>
          <cell r="F615">
            <v>1194.8663205199998</v>
          </cell>
          <cell r="G615">
            <v>1194.8663205199998</v>
          </cell>
          <cell r="H615">
            <v>1194.8663205199998</v>
          </cell>
          <cell r="I615">
            <v>0</v>
          </cell>
          <cell r="J615">
            <v>1225.0478456899998</v>
          </cell>
          <cell r="K615">
            <v>1225.0478456899998</v>
          </cell>
          <cell r="L615">
            <v>1225.0478456899998</v>
          </cell>
          <cell r="W615" t="str">
            <v>E9768</v>
          </cell>
          <cell r="X615" t="str">
            <v>Compressor de ar portátil de 778 PCM - 184 kW</v>
          </cell>
          <cell r="Y615" t="str">
            <v>h</v>
          </cell>
          <cell r="Z615">
            <v>147.584</v>
          </cell>
          <cell r="AA615">
            <v>29.399000000000001</v>
          </cell>
          <cell r="BC615" t="str">
            <v>E9095</v>
          </cell>
          <cell r="BD615" t="str">
            <v>Guindaste móvel sobre pneus com 8 eixos com capacidade de 15.000 kNm- 500 kW</v>
          </cell>
          <cell r="BE615" t="str">
            <v>h</v>
          </cell>
          <cell r="BF615">
            <v>2430.4445999999998</v>
          </cell>
          <cell r="BG615">
            <v>1181.3905999999999</v>
          </cell>
        </row>
        <row r="616">
          <cell r="B616">
            <v>804376</v>
          </cell>
          <cell r="D616" t="str">
            <v>Boca BSTC D = 0,60 m - esconsidade 0° - areia extraída e brita produzida - alas esconsas</v>
          </cell>
          <cell r="E616" t="str">
            <v xml:space="preserve">un </v>
          </cell>
          <cell r="F616">
            <v>852.64314999999999</v>
          </cell>
          <cell r="G616">
            <v>852.64314999999999</v>
          </cell>
          <cell r="H616">
            <v>852.64314999999999</v>
          </cell>
          <cell r="I616">
            <v>0</v>
          </cell>
          <cell r="J616">
            <v>889.12436000000002</v>
          </cell>
          <cell r="K616">
            <v>889.12436000000002</v>
          </cell>
          <cell r="L616">
            <v>889.12436000000002</v>
          </cell>
          <cell r="W616" t="str">
            <v>E9780</v>
          </cell>
          <cell r="X616" t="str">
            <v>Misturador automático para grouteamento com capacidade de 20 m³/h - 7 kW</v>
          </cell>
          <cell r="Y616" t="str">
            <v>h</v>
          </cell>
          <cell r="Z616">
            <v>118.929</v>
          </cell>
          <cell r="AA616">
            <v>75.968299999999999</v>
          </cell>
          <cell r="BC616" t="str">
            <v>E9707</v>
          </cell>
          <cell r="BD616" t="str">
            <v>Desarenador - 15 kW</v>
          </cell>
          <cell r="BE616" t="str">
            <v>h</v>
          </cell>
          <cell r="BF616">
            <v>22.3721</v>
          </cell>
          <cell r="BG616">
            <v>21.844100000000001</v>
          </cell>
        </row>
        <row r="617">
          <cell r="B617">
            <v>6817754</v>
          </cell>
          <cell r="D617" t="str">
            <v>Confecção de BSCC - seção 1,5 x 1,5 m fechada - tipo I - areia extraída e brita produzida</v>
          </cell>
          <cell r="E617" t="str">
            <v xml:space="preserve">un </v>
          </cell>
          <cell r="F617">
            <v>773.70817554818962</v>
          </cell>
          <cell r="G617">
            <v>773.70817554818962</v>
          </cell>
          <cell r="H617">
            <v>773.70817554818962</v>
          </cell>
          <cell r="I617">
            <v>0</v>
          </cell>
          <cell r="J617">
            <v>794.657260980724</v>
          </cell>
          <cell r="K617">
            <v>794.657260980724</v>
          </cell>
          <cell r="L617">
            <v>794.657260980724</v>
          </cell>
          <cell r="W617" t="str">
            <v>E9068</v>
          </cell>
          <cell r="X617" t="str">
            <v>Perfuratriz hidráulica rotopercussiva para CCPH - 123 kW</v>
          </cell>
          <cell r="Y617" t="str">
            <v>h</v>
          </cell>
          <cell r="Z617">
            <v>449.88470000000001</v>
          </cell>
          <cell r="AA617">
            <v>229.2131</v>
          </cell>
          <cell r="BC617" t="str">
            <v>E9705</v>
          </cell>
          <cell r="BD617" t="str">
            <v>Misturador de lama bentonítica - 4 kW</v>
          </cell>
          <cell r="BE617" t="str">
            <v>h</v>
          </cell>
          <cell r="BF617">
            <v>22.699200000000001</v>
          </cell>
          <cell r="BG617">
            <v>22.073399999999999</v>
          </cell>
        </row>
        <row r="618">
          <cell r="B618">
            <v>804464</v>
          </cell>
          <cell r="D618" t="str">
            <v xml:space="preserve">Confecção de tubos de concreto armado D = 0,60 m CA-1 - areia extraída e brita produzida </v>
          </cell>
          <cell r="E618" t="str">
            <v>m</v>
          </cell>
          <cell r="F618">
            <v>79.519566817269066</v>
          </cell>
          <cell r="G618">
            <v>79.519566817269066</v>
          </cell>
          <cell r="H618">
            <v>79.519566817269066</v>
          </cell>
          <cell r="I618">
            <v>0</v>
          </cell>
          <cell r="J618">
            <v>82.075348867469884</v>
          </cell>
          <cell r="K618">
            <v>82.075348867469884</v>
          </cell>
          <cell r="L618">
            <v>82.075348867469884</v>
          </cell>
          <cell r="W618" t="str">
            <v>E9513</v>
          </cell>
          <cell r="X618" t="str">
            <v>Compressor de ar portátil de 340 PCM - 81 kW</v>
          </cell>
          <cell r="Y618" t="str">
            <v>h</v>
          </cell>
          <cell r="Z618">
            <v>65.956100000000006</v>
          </cell>
          <cell r="AA618">
            <v>13.492699999999999</v>
          </cell>
          <cell r="BC618" t="str">
            <v>E9516</v>
          </cell>
          <cell r="BD618" t="str">
            <v>Perfuratriz hidráulica sobre esteiras - 300 kW</v>
          </cell>
          <cell r="BE618" t="str">
            <v>h</v>
          </cell>
          <cell r="BF618">
            <v>769.10640000000001</v>
          </cell>
          <cell r="BG618">
            <v>357.16759999999999</v>
          </cell>
        </row>
        <row r="619">
          <cell r="B619">
            <v>804466</v>
          </cell>
          <cell r="D619" t="str">
            <v>Confecção de tubos de concreto armado D = 0,80 m CA-1 - areia extraída e brita produzida</v>
          </cell>
          <cell r="E619" t="str">
            <v>m</v>
          </cell>
          <cell r="F619">
            <v>119.09647537779492</v>
          </cell>
          <cell r="G619">
            <v>119.09647537779492</v>
          </cell>
          <cell r="H619">
            <v>119.09647537779492</v>
          </cell>
          <cell r="I619">
            <v>0</v>
          </cell>
          <cell r="J619">
            <v>122.91247582575174</v>
          </cell>
          <cell r="K619">
            <v>122.91247582575174</v>
          </cell>
          <cell r="L619">
            <v>122.91247582575174</v>
          </cell>
          <cell r="W619" t="str">
            <v>M2142</v>
          </cell>
          <cell r="X619" t="str">
            <v>Nonel de coluna com 4,8 m</v>
          </cell>
          <cell r="Y619" t="str">
            <v>un</v>
          </cell>
          <cell r="Z619">
            <v>13.333600000000001</v>
          </cell>
          <cell r="AA619">
            <v>0</v>
          </cell>
          <cell r="BC619" t="str">
            <v>M0140</v>
          </cell>
          <cell r="BD619" t="str">
            <v>Bentonita</v>
          </cell>
          <cell r="BE619" t="str">
            <v>kg</v>
          </cell>
          <cell r="BF619">
            <v>1.59</v>
          </cell>
          <cell r="BG619">
            <v>0</v>
          </cell>
        </row>
        <row r="620">
          <cell r="B620">
            <v>804468</v>
          </cell>
          <cell r="D620" t="str">
            <v>Confecção de tubos de concreto armado D = 1,00 m CA-1 - areia extraída e brita produzida</v>
          </cell>
          <cell r="E620" t="str">
            <v>m</v>
          </cell>
          <cell r="F620">
            <v>209.76001746385543</v>
          </cell>
          <cell r="G620">
            <v>209.76001746385543</v>
          </cell>
          <cell r="H620">
            <v>209.76001746385543</v>
          </cell>
          <cell r="I620">
            <v>0</v>
          </cell>
          <cell r="J620">
            <v>216.79928188915665</v>
          </cell>
          <cell r="K620">
            <v>216.79928188915665</v>
          </cell>
          <cell r="L620">
            <v>216.79928188915665</v>
          </cell>
          <cell r="W620" t="str">
            <v>M1337</v>
          </cell>
          <cell r="X620" t="str">
            <v>Série de brocas S-11 - D = 22 mm</v>
          </cell>
          <cell r="Y620" t="str">
            <v>un</v>
          </cell>
          <cell r="Z620">
            <v>428.19740000000002</v>
          </cell>
          <cell r="AA620">
            <v>0</v>
          </cell>
          <cell r="BC620" t="str">
            <v>M1384</v>
          </cell>
          <cell r="BD620" t="str">
            <v>Tubo tremonha de aço</v>
          </cell>
          <cell r="BE620" t="str">
            <v>kg</v>
          </cell>
          <cell r="BF620">
            <v>4.7558999999999996</v>
          </cell>
          <cell r="BG620">
            <v>0</v>
          </cell>
        </row>
        <row r="621">
          <cell r="B621">
            <v>804470</v>
          </cell>
          <cell r="D621" t="str">
            <v>Confecção de tubos de concreto armado D = 1,20 m CA-1 - areia extraída e brita produzida</v>
          </cell>
          <cell r="E621" t="str">
            <v>m</v>
          </cell>
          <cell r="F621">
            <v>284.06705146113075</v>
          </cell>
          <cell r="G621">
            <v>284.06705146113075</v>
          </cell>
          <cell r="H621">
            <v>284.06705146113075</v>
          </cell>
          <cell r="I621">
            <v>0</v>
          </cell>
          <cell r="J621">
            <v>293.50697524008996</v>
          </cell>
          <cell r="K621">
            <v>293.50697524008996</v>
          </cell>
          <cell r="L621">
            <v>293.50697524008996</v>
          </cell>
          <cell r="W621" t="str">
            <v>E9783</v>
          </cell>
          <cell r="X621" t="str">
            <v>Plataforma pantográfica montada em caminhão - 115 kW</v>
          </cell>
          <cell r="Y621" t="str">
            <v>h</v>
          </cell>
          <cell r="Z621">
            <v>192.77340000000001</v>
          </cell>
          <cell r="AA621">
            <v>99.027100000000004</v>
          </cell>
          <cell r="BC621" t="str">
            <v>M1392</v>
          </cell>
          <cell r="BD621" t="str">
            <v>Bico para injeção de adesivo estrutural à base de resina epóxi</v>
          </cell>
          <cell r="BE621" t="str">
            <v>und</v>
          </cell>
          <cell r="BF621">
            <v>21.09</v>
          </cell>
          <cell r="BG621">
            <v>0</v>
          </cell>
        </row>
        <row r="622">
          <cell r="B622">
            <v>804472</v>
          </cell>
          <cell r="D622" t="str">
            <v>Confecção de tubos de concreto armado D = 1,50 m CA-1 - areia extraída e brita produzida</v>
          </cell>
          <cell r="E622" t="str">
            <v>m</v>
          </cell>
          <cell r="F622">
            <v>459.70371098192766</v>
          </cell>
          <cell r="G622">
            <v>459.70371098192766</v>
          </cell>
          <cell r="H622">
            <v>459.70371098192766</v>
          </cell>
          <cell r="I622">
            <v>0</v>
          </cell>
          <cell r="J622">
            <v>475.06304883855421</v>
          </cell>
          <cell r="K622">
            <v>475.06304883855421</v>
          </cell>
          <cell r="L622">
            <v>475.06304883855421</v>
          </cell>
          <cell r="W622" t="str">
            <v>M2197</v>
          </cell>
          <cell r="X622" t="str">
            <v>Haste de paredes paralelas com niples linha NW</v>
          </cell>
          <cell r="Y622" t="str">
            <v>m</v>
          </cell>
          <cell r="Z622">
            <v>327.5668</v>
          </cell>
          <cell r="AA622">
            <v>0</v>
          </cell>
          <cell r="BC622">
            <v>2407972</v>
          </cell>
          <cell r="BD622" t="str">
            <v>Fornecimento e aplicação de adesivo estrutural à base de resina epóxi</v>
          </cell>
          <cell r="BE622" t="str">
            <v>kg</v>
          </cell>
          <cell r="BF622">
            <v>55.83</v>
          </cell>
          <cell r="BG622">
            <v>0</v>
          </cell>
        </row>
        <row r="623">
          <cell r="B623">
            <v>2003600</v>
          </cell>
          <cell r="D623" t="str">
            <v>Boca de saída para dreno longitudinal profundo - BSD 02 - tubo de concreto perfurado - areia extraída e brita produzida</v>
          </cell>
          <cell r="E623" t="str">
            <v>un</v>
          </cell>
          <cell r="F623">
            <v>183.03540000000004</v>
          </cell>
          <cell r="G623">
            <v>183.03540000000004</v>
          </cell>
          <cell r="H623">
            <v>183.03540000000004</v>
          </cell>
          <cell r="I623">
            <v>0</v>
          </cell>
          <cell r="J623">
            <v>191.13648000000001</v>
          </cell>
          <cell r="K623">
            <v>191.13648000000001</v>
          </cell>
          <cell r="L623">
            <v>191.13648000000001</v>
          </cell>
          <cell r="W623" t="str">
            <v>M2285</v>
          </cell>
          <cell r="X623" t="str">
            <v>Revestimento com conector linha NW</v>
          </cell>
          <cell r="Y623" t="str">
            <v>m</v>
          </cell>
          <cell r="Z623">
            <v>236.37360000000001</v>
          </cell>
          <cell r="AA623">
            <v>0</v>
          </cell>
          <cell r="BC623" t="str">
            <v>M1969</v>
          </cell>
          <cell r="BD623" t="str">
            <v>Defensa metálica semi-maleável dupla - Caminhão carroceria 15 t</v>
          </cell>
          <cell r="BE623" t="str">
            <v>und</v>
          </cell>
          <cell r="BF623">
            <v>1424</v>
          </cell>
          <cell r="BG623">
            <v>0</v>
          </cell>
        </row>
        <row r="624">
          <cell r="B624">
            <v>2003361</v>
          </cell>
          <cell r="C624" t="str">
            <v>SICRO</v>
          </cell>
          <cell r="D624" t="str">
            <v xml:space="preserve">Transposição de segmentos de sarjeta - TSS 03 - areia e brita comerciais </v>
          </cell>
          <cell r="E624" t="str">
            <v>m</v>
          </cell>
          <cell r="F624">
            <v>382.47300000000007</v>
          </cell>
          <cell r="G624">
            <v>382.47300000000007</v>
          </cell>
          <cell r="H624">
            <v>382.47300000000007</v>
          </cell>
          <cell r="I624">
            <v>0</v>
          </cell>
          <cell r="J624">
            <v>399.76430000000005</v>
          </cell>
          <cell r="K624">
            <v>399.76430000000005</v>
          </cell>
          <cell r="L624">
            <v>399.76430000000005</v>
          </cell>
          <cell r="W624" t="str">
            <v>M2303</v>
          </cell>
          <cell r="X624" t="str">
            <v>Sapata de widia linha NW</v>
          </cell>
          <cell r="Y624" t="str">
            <v>un</v>
          </cell>
          <cell r="Z624">
            <v>252.40770000000001</v>
          </cell>
          <cell r="AA624">
            <v>0</v>
          </cell>
          <cell r="BC624" t="str">
            <v>M0025</v>
          </cell>
          <cell r="BD624" t="str">
            <v>Adesivo plástico para tubos de PVC</v>
          </cell>
          <cell r="BE624" t="str">
            <v>kg</v>
          </cell>
          <cell r="BF624">
            <v>29.8125</v>
          </cell>
          <cell r="BG624">
            <v>0</v>
          </cell>
        </row>
        <row r="625">
          <cell r="B625">
            <v>2003486</v>
          </cell>
          <cell r="D625" t="str">
            <v xml:space="preserve">Caixa coletora de sarjeta - CCS 06 - com grelha de concreto - TCC 01 - areia extraída e brita produzida </v>
          </cell>
          <cell r="E625" t="str">
            <v>un</v>
          </cell>
          <cell r="F625">
            <v>3614.05926</v>
          </cell>
          <cell r="G625">
            <v>3614.05926</v>
          </cell>
          <cell r="H625">
            <v>3614.05926</v>
          </cell>
          <cell r="I625">
            <v>0</v>
          </cell>
          <cell r="J625">
            <v>3750.3998000000001</v>
          </cell>
          <cell r="K625">
            <v>3750.3998000000001</v>
          </cell>
          <cell r="L625">
            <v>3750.3998000000001</v>
          </cell>
          <cell r="W625" t="str">
            <v>M2304</v>
          </cell>
          <cell r="X625" t="str">
            <v>Tricone de widia com três asas linha NW</v>
          </cell>
          <cell r="Y625" t="str">
            <v>un</v>
          </cell>
          <cell r="Z625">
            <v>712.2876</v>
          </cell>
          <cell r="AA625">
            <v>0</v>
          </cell>
          <cell r="BC625" t="str">
            <v>M2079</v>
          </cell>
          <cell r="BD625" t="str">
            <v>Fio de nylon Nº 040</v>
          </cell>
          <cell r="BE625" t="str">
            <v>m</v>
          </cell>
          <cell r="BF625">
            <v>7.7100000000000002E-2</v>
          </cell>
          <cell r="BG625">
            <v>0</v>
          </cell>
        </row>
        <row r="626">
          <cell r="B626">
            <v>2003492</v>
          </cell>
          <cell r="D626" t="str">
            <v xml:space="preserve">Caixa coletora de sarjeta - CCS 09 - com grelha de concreto - TCC 01 - areia extraída e brita produzida </v>
          </cell>
          <cell r="E626" t="str">
            <v>un</v>
          </cell>
          <cell r="F626">
            <v>4339.5027600000003</v>
          </cell>
          <cell r="G626">
            <v>4339.5027600000003</v>
          </cell>
          <cell r="H626">
            <v>4339.5027600000003</v>
          </cell>
          <cell r="I626">
            <v>0</v>
          </cell>
          <cell r="J626">
            <v>4503.0828000000001</v>
          </cell>
          <cell r="K626">
            <v>4503.0828000000001</v>
          </cell>
          <cell r="L626">
            <v>4503.0828000000001</v>
          </cell>
          <cell r="W626" t="str">
            <v>E9007</v>
          </cell>
          <cell r="X626" t="str">
            <v>Bomba de pistão triplex com capacidade de 130 l/min - 8,2 kW</v>
          </cell>
          <cell r="Y626" t="str">
            <v>h</v>
          </cell>
          <cell r="Z626">
            <v>10.186</v>
          </cell>
          <cell r="AA626">
            <v>3.4748000000000001</v>
          </cell>
          <cell r="BC626" t="str">
            <v>M2137</v>
          </cell>
          <cell r="BD626" t="str">
            <v>Tubo de PVC rígido - D = 50 mm</v>
          </cell>
          <cell r="BE626" t="str">
            <v>m</v>
          </cell>
          <cell r="BF626">
            <v>7.2824999999999998</v>
          </cell>
          <cell r="BG626">
            <v>0</v>
          </cell>
        </row>
        <row r="627">
          <cell r="B627">
            <v>2003502</v>
          </cell>
          <cell r="D627" t="str">
            <v xml:space="preserve">Caixa coletora de sarjeta - CCS 14 - com grelha de concreto - TCC 01 - areia extraída e brita produzida </v>
          </cell>
          <cell r="E627" t="str">
            <v>un</v>
          </cell>
          <cell r="F627">
            <v>4964.3662600000007</v>
          </cell>
          <cell r="G627">
            <v>4964.3662600000007</v>
          </cell>
          <cell r="H627">
            <v>4964.3662600000007</v>
          </cell>
          <cell r="I627">
            <v>0</v>
          </cell>
          <cell r="J627">
            <v>5152.5018</v>
          </cell>
          <cell r="K627">
            <v>5152.5018</v>
          </cell>
          <cell r="L627">
            <v>5152.5018</v>
          </cell>
          <cell r="W627" t="str">
            <v>E9781</v>
          </cell>
          <cell r="X627" t="str">
            <v>Misturador com bomba para grouteamento tipo Flex E - 25 kW</v>
          </cell>
          <cell r="Y627" t="str">
            <v>h</v>
          </cell>
          <cell r="Z627">
            <v>104.42270000000001</v>
          </cell>
          <cell r="AA627">
            <v>62.8705</v>
          </cell>
          <cell r="BC627">
            <v>2005759</v>
          </cell>
          <cell r="BD627" t="str">
            <v>Perfuração para dreno sub-horizontal em material de 1ª categoria com D = 75 mm (linha NW)</v>
          </cell>
          <cell r="BE627" t="str">
            <v>m</v>
          </cell>
          <cell r="BF627">
            <v>27.06</v>
          </cell>
          <cell r="BG627">
            <v>0</v>
          </cell>
        </row>
        <row r="628">
          <cell r="B628">
            <v>2003510</v>
          </cell>
          <cell r="D628" t="str">
            <v xml:space="preserve">Caixa coletora de sarjeta - CCS 18 - com grelha de concreto - TCC 01 - areia extraída e brita produzida </v>
          </cell>
          <cell r="E628" t="str">
            <v>un</v>
          </cell>
          <cell r="F628">
            <v>5665.7547599999998</v>
          </cell>
          <cell r="G628">
            <v>5665.7547599999998</v>
          </cell>
          <cell r="H628">
            <v>5665.7547599999998</v>
          </cell>
          <cell r="I628">
            <v>0</v>
          </cell>
          <cell r="J628">
            <v>5880.4728000000005</v>
          </cell>
          <cell r="K628">
            <v>5880.4728000000005</v>
          </cell>
          <cell r="L628">
            <v>5880.4728000000005</v>
          </cell>
          <cell r="W628" t="str">
            <v>M1735</v>
          </cell>
          <cell r="X628" t="str">
            <v>Punho de perfuração ST 68 de 80 mm</v>
          </cell>
          <cell r="Y628" t="str">
            <v>un</v>
          </cell>
          <cell r="Z628">
            <v>6105.1643999999997</v>
          </cell>
          <cell r="AA628">
            <v>0</v>
          </cell>
          <cell r="BC628">
            <v>1207702</v>
          </cell>
          <cell r="BD628" t="str">
            <v>Concreto fck = 30 MPa para projeção via seca - confecção em betoneira</v>
          </cell>
          <cell r="BE628" t="str">
            <v>m³</v>
          </cell>
          <cell r="BF628">
            <v>398.29</v>
          </cell>
          <cell r="BG628">
            <v>0</v>
          </cell>
        </row>
        <row r="629">
          <cell r="B629">
            <v>2003592</v>
          </cell>
          <cell r="D629" t="str">
            <v>Dreno longitudinal profundo para corte em rocha - DPR 03 - brita produzida</v>
          </cell>
          <cell r="E629" t="str">
            <v>m</v>
          </cell>
          <cell r="F629">
            <v>87.535450000000012</v>
          </cell>
          <cell r="G629">
            <v>87.535450000000012</v>
          </cell>
          <cell r="H629">
            <v>87.535450000000012</v>
          </cell>
          <cell r="I629">
            <v>0</v>
          </cell>
          <cell r="J629">
            <v>90.656544000000011</v>
          </cell>
          <cell r="K629">
            <v>90.656544000000011</v>
          </cell>
          <cell r="L629">
            <v>90.656544000000011</v>
          </cell>
          <cell r="W629" t="str">
            <v>M3220</v>
          </cell>
          <cell r="X629" t="str">
            <v>Ring bit - D = 104 mm</v>
          </cell>
          <cell r="Y629" t="str">
            <v>un</v>
          </cell>
          <cell r="Z629">
            <v>1099.7047</v>
          </cell>
          <cell r="AA629">
            <v>0</v>
          </cell>
          <cell r="BC629" t="str">
            <v>E9050</v>
          </cell>
          <cell r="BD629" t="str">
            <v>Guindaste sobre rodas com capacidade de 370 kNm - 75 kW</v>
          </cell>
          <cell r="BE629" t="str">
            <v>h</v>
          </cell>
          <cell r="BF629">
            <v>191.2432</v>
          </cell>
          <cell r="BG629">
            <v>93.539900000000003</v>
          </cell>
        </row>
        <row r="630">
          <cell r="B630">
            <v>2008091</v>
          </cell>
          <cell r="D630" t="str">
            <v>Dreno de PVC D = 150 mm - fornecimento e instalação</v>
          </cell>
          <cell r="E630" t="str">
            <v>m</v>
          </cell>
          <cell r="F630">
            <v>66.772986399999994</v>
          </cell>
          <cell r="G630">
            <v>66.772986399999994</v>
          </cell>
          <cell r="H630">
            <v>66.772986399999994</v>
          </cell>
          <cell r="I630">
            <v>0</v>
          </cell>
          <cell r="J630">
            <v>103.8579488</v>
          </cell>
          <cell r="K630">
            <v>103.8579488</v>
          </cell>
          <cell r="L630">
            <v>103.8579488</v>
          </cell>
          <cell r="W630" t="str">
            <v>M1765</v>
          </cell>
          <cell r="X630" t="str">
            <v>Tubo de aço SCH 40 - D = 65 mm</v>
          </cell>
          <cell r="Y630" t="str">
            <v>m</v>
          </cell>
          <cell r="Z630">
            <v>56.115600000000001</v>
          </cell>
          <cell r="AA630">
            <v>0</v>
          </cell>
          <cell r="BC630" t="str">
            <v>M0091</v>
          </cell>
          <cell r="BD630" t="str">
            <v>Ancoragem ativa em ferro fundido nodular para 10 cordoalhas - D = 12,7mm - Caminhão carroceria 15 t</v>
          </cell>
          <cell r="BE630" t="str">
            <v>und</v>
          </cell>
          <cell r="BF630">
            <v>1190.0795000000001</v>
          </cell>
          <cell r="BG630">
            <v>0</v>
          </cell>
        </row>
        <row r="631">
          <cell r="B631">
            <v>2003641</v>
          </cell>
          <cell r="D631" t="str">
            <v>Caixa de ligação e passagem - CLP 01 - areia extraída e brita produzida</v>
          </cell>
          <cell r="E631" t="str">
            <v>un</v>
          </cell>
          <cell r="F631">
            <v>1112.9401</v>
          </cell>
          <cell r="G631">
            <v>1112.9401</v>
          </cell>
          <cell r="H631">
            <v>1112.9401</v>
          </cell>
          <cell r="I631">
            <v>0</v>
          </cell>
          <cell r="J631">
            <v>1160.8567</v>
          </cell>
          <cell r="K631">
            <v>1160.8567</v>
          </cell>
          <cell r="L631">
            <v>1160.8567</v>
          </cell>
          <cell r="W631" t="str">
            <v>M1749</v>
          </cell>
          <cell r="X631" t="str">
            <v>Tubo de perfuração ST 68 de 87 x 1.830 mm</v>
          </cell>
          <cell r="Y631" t="str">
            <v>un</v>
          </cell>
          <cell r="Z631">
            <v>5733.9525000000003</v>
          </cell>
          <cell r="AA631">
            <v>0</v>
          </cell>
          <cell r="BC631" t="str">
            <v>M2439</v>
          </cell>
          <cell r="BD631" t="str">
            <v>Ancoragem passiva aderente para 19 cordoalhas - D = 15,2 mm</v>
          </cell>
          <cell r="BE631" t="str">
            <v>und</v>
          </cell>
          <cell r="BF631">
            <v>427.18770000000001</v>
          </cell>
          <cell r="BG631">
            <v>0</v>
          </cell>
        </row>
        <row r="632">
          <cell r="B632">
            <v>2003643</v>
          </cell>
          <cell r="D632" t="str">
            <v>Caixa de ligação e passagem - CLP 02 - areia extraída e brita produzida</v>
          </cell>
          <cell r="E632" t="str">
            <v>un</v>
          </cell>
          <cell r="F632">
            <v>1098.5071</v>
          </cell>
          <cell r="G632">
            <v>1098.5071</v>
          </cell>
          <cell r="H632">
            <v>1098.5071</v>
          </cell>
          <cell r="I632">
            <v>0</v>
          </cell>
          <cell r="J632">
            <v>1146.0295000000001</v>
          </cell>
          <cell r="K632">
            <v>1146.0295000000001</v>
          </cell>
          <cell r="L632">
            <v>1146.0295000000001</v>
          </cell>
          <cell r="W632" t="str">
            <v>E9017</v>
          </cell>
          <cell r="X632" t="str">
            <v>Escavadeira hidráulica sobre esteira com capacidade de 0,4 m³ - 64 kW</v>
          </cell>
          <cell r="Y632" t="str">
            <v>h</v>
          </cell>
          <cell r="Z632">
            <v>131.292</v>
          </cell>
          <cell r="AA632">
            <v>68.343900000000005</v>
          </cell>
          <cell r="BC632" t="str">
            <v>M2422</v>
          </cell>
          <cell r="BD632" t="str">
            <v>Mangueira cristal trançado ar/água com capacidade de 250 lb - D = 1/2"</v>
          </cell>
          <cell r="BE632" t="str">
            <v>m</v>
          </cell>
          <cell r="BF632">
            <v>3.1208999999999998</v>
          </cell>
          <cell r="BG632">
            <v>0</v>
          </cell>
        </row>
        <row r="633">
          <cell r="B633">
            <v>2003645</v>
          </cell>
          <cell r="D633" t="str">
            <v>Caixa de ligação e passagem - CLP 03 - areia extraída e brita produzida</v>
          </cell>
          <cell r="E633" t="str">
            <v>un</v>
          </cell>
          <cell r="F633">
            <v>1490.5612000000001</v>
          </cell>
          <cell r="G633">
            <v>1490.5612000000001</v>
          </cell>
          <cell r="H633">
            <v>1490.5612000000001</v>
          </cell>
          <cell r="I633">
            <v>0</v>
          </cell>
          <cell r="J633">
            <v>1554.3993</v>
          </cell>
          <cell r="K633">
            <v>1554.3993</v>
          </cell>
          <cell r="L633">
            <v>1554.3993</v>
          </cell>
          <cell r="W633" t="str">
            <v>E9784</v>
          </cell>
          <cell r="X633" t="str">
            <v>Plataforma autopropelida com alcance de 12 m com capacidade de 700 kg - 24 kW</v>
          </cell>
          <cell r="Y633" t="str">
            <v>h</v>
          </cell>
          <cell r="Z633">
            <v>92.168400000000005</v>
          </cell>
          <cell r="AA633">
            <v>56.795299999999997</v>
          </cell>
          <cell r="BC633" t="str">
            <v>M1022</v>
          </cell>
          <cell r="BD633" t="str">
            <v>Massa de vidraceiro</v>
          </cell>
          <cell r="BE633" t="str">
            <v>kg</v>
          </cell>
          <cell r="BF633">
            <v>1.9179999999999999</v>
          </cell>
          <cell r="BG633">
            <v>0</v>
          </cell>
        </row>
        <row r="634">
          <cell r="B634">
            <v>2003647</v>
          </cell>
          <cell r="D634" t="str">
            <v>Caixa de ligação e passagem - CLP 04 - areia extraída e brita produzida</v>
          </cell>
          <cell r="E634" t="str">
            <v>un</v>
          </cell>
          <cell r="F634">
            <v>1928.7734</v>
          </cell>
          <cell r="G634">
            <v>1928.7734</v>
          </cell>
          <cell r="H634">
            <v>1928.7734</v>
          </cell>
          <cell r="I634">
            <v>0</v>
          </cell>
          <cell r="J634">
            <v>2011.7483000000002</v>
          </cell>
          <cell r="K634">
            <v>2011.7483000000002</v>
          </cell>
          <cell r="L634">
            <v>2011.7483000000002</v>
          </cell>
          <cell r="W634" t="str">
            <v>M1341</v>
          </cell>
          <cell r="X634" t="str">
            <v>Parafuso de aço galvanizado sextavado de 5/8 x 4"</v>
          </cell>
          <cell r="Y634" t="str">
            <v>un</v>
          </cell>
          <cell r="Z634">
            <v>3.2749999999999999</v>
          </cell>
          <cell r="AA634">
            <v>0</v>
          </cell>
          <cell r="BC634" t="str">
            <v>M2416</v>
          </cell>
          <cell r="BD634" t="str">
            <v>Purgador metálico - D = 95 mm</v>
          </cell>
          <cell r="BE634" t="str">
            <v>und</v>
          </cell>
          <cell r="BF634">
            <v>3.1480000000000001</v>
          </cell>
          <cell r="BG634">
            <v>0</v>
          </cell>
        </row>
        <row r="635">
          <cell r="B635">
            <v>2003655</v>
          </cell>
          <cell r="D635" t="str">
            <v>Caixa de ligação e passagem - CLP 08 - areia extraída e brita produzida</v>
          </cell>
          <cell r="E635" t="str">
            <v>un</v>
          </cell>
          <cell r="F635">
            <v>1316.1001000000001</v>
          </cell>
          <cell r="G635">
            <v>1316.1001000000001</v>
          </cell>
          <cell r="H635">
            <v>1316.1001000000001</v>
          </cell>
          <cell r="I635">
            <v>0</v>
          </cell>
          <cell r="J635">
            <v>1373.1557</v>
          </cell>
          <cell r="K635">
            <v>1373.1557</v>
          </cell>
          <cell r="L635">
            <v>1373.1557</v>
          </cell>
          <cell r="W635" t="str">
            <v>E9775</v>
          </cell>
          <cell r="X635" t="str">
            <v>Escavadeira hidráulica com martelo hidráulico de 1.700 kg - 103 kW</v>
          </cell>
          <cell r="Y635" t="str">
            <v>h</v>
          </cell>
          <cell r="Z635">
            <v>355.87290000000002</v>
          </cell>
          <cell r="AA635">
            <v>162.1585</v>
          </cell>
          <cell r="BC635" t="str">
            <v>M2433</v>
          </cell>
          <cell r="BD635" t="str">
            <v>Ancoragem passiva aderente para 10 cordoalhas - D = 12,7 mm</v>
          </cell>
          <cell r="BE635" t="str">
            <v>und</v>
          </cell>
          <cell r="BF635">
            <v>152.5763</v>
          </cell>
          <cell r="BG635">
            <v>0</v>
          </cell>
        </row>
        <row r="636">
          <cell r="B636">
            <v>2003414</v>
          </cell>
          <cell r="D636" t="str">
            <v>Descida d'água de aterros em degraus - DAD 06 - areia extraída e brita produzida</v>
          </cell>
          <cell r="E636" t="str">
            <v>m</v>
          </cell>
          <cell r="F636">
            <v>448.35547120000001</v>
          </cell>
          <cell r="G636">
            <v>448.35547120000001</v>
          </cell>
          <cell r="H636">
            <v>448.35547120000001</v>
          </cell>
          <cell r="I636">
            <v>0</v>
          </cell>
          <cell r="J636">
            <v>464.69571079999992</v>
          </cell>
          <cell r="K636">
            <v>464.69571079999992</v>
          </cell>
          <cell r="L636">
            <v>464.69571079999992</v>
          </cell>
          <cell r="W636" t="str">
            <v>M0202</v>
          </cell>
          <cell r="X636" t="str">
            <v>Bit de botão ST 68 - D = 76 mm</v>
          </cell>
          <cell r="Y636" t="str">
            <v>un</v>
          </cell>
          <cell r="Z636">
            <v>2818.02</v>
          </cell>
          <cell r="AA636">
            <v>0</v>
          </cell>
          <cell r="BC636" t="str">
            <v>M2410</v>
          </cell>
          <cell r="BD636" t="str">
            <v>Purgador metálico - D = 65 mm</v>
          </cell>
          <cell r="BE636" t="str">
            <v>und</v>
          </cell>
          <cell r="BF636">
            <v>1.8649</v>
          </cell>
          <cell r="BG636">
            <v>0</v>
          </cell>
        </row>
        <row r="637">
          <cell r="B637">
            <v>2003422</v>
          </cell>
          <cell r="D637" t="str">
            <v>Descida d'água de aterros em degraus - DAD 10 - areia extraída e brita produzida</v>
          </cell>
          <cell r="E637" t="str">
            <v>m</v>
          </cell>
          <cell r="F637">
            <v>735.58196680000015</v>
          </cell>
          <cell r="G637">
            <v>735.58196680000015</v>
          </cell>
          <cell r="H637">
            <v>735.58196680000015</v>
          </cell>
          <cell r="I637">
            <v>0</v>
          </cell>
          <cell r="J637">
            <v>761.4213062</v>
          </cell>
          <cell r="K637">
            <v>761.4213062</v>
          </cell>
          <cell r="L637">
            <v>761.4213062</v>
          </cell>
          <cell r="W637" t="str">
            <v>M0161</v>
          </cell>
          <cell r="X637" t="str">
            <v>Vergalhão de fibra de vidro de 25 mm</v>
          </cell>
          <cell r="Y637" t="str">
            <v>m</v>
          </cell>
          <cell r="Z637">
            <v>30.91</v>
          </cell>
          <cell r="AA637">
            <v>0</v>
          </cell>
          <cell r="BC637">
            <v>5915373</v>
          </cell>
          <cell r="BD637" t="str">
            <v>Carga, manobra e descarga de materiais diversos em caminhão carroceria com guindauto com capacidade de 20 t.m</v>
          </cell>
          <cell r="BE637" t="str">
            <v>t</v>
          </cell>
          <cell r="BF637">
            <v>9.16</v>
          </cell>
          <cell r="BG637">
            <v>0</v>
          </cell>
        </row>
        <row r="638">
          <cell r="B638">
            <v>2003444</v>
          </cell>
          <cell r="D638" t="str">
            <v>Dissipador de energia - DES 03 - areia extraída e pedra de mão produzida</v>
          </cell>
          <cell r="E638" t="str">
            <v xml:space="preserve">un </v>
          </cell>
          <cell r="F638">
            <v>155.66970000000001</v>
          </cell>
          <cell r="G638">
            <v>155.66970000000001</v>
          </cell>
          <cell r="H638">
            <v>155.66970000000001</v>
          </cell>
          <cell r="I638">
            <v>0</v>
          </cell>
          <cell r="J638">
            <v>159.87</v>
          </cell>
          <cell r="K638">
            <v>159.87</v>
          </cell>
          <cell r="L638">
            <v>159.87</v>
          </cell>
          <cell r="W638" t="str">
            <v>E9661</v>
          </cell>
          <cell r="X638" t="str">
            <v>Compressor de ar portátil de 189 PCM - 46 kW</v>
          </cell>
          <cell r="Y638" t="str">
            <v>h</v>
          </cell>
          <cell r="Z638">
            <v>43.223399999999998</v>
          </cell>
          <cell r="AA638">
            <v>10.8805</v>
          </cell>
          <cell r="BC638" t="str">
            <v>M2759</v>
          </cell>
          <cell r="BD638" t="str">
            <v>Aparelho de apoio metálico elastomérico fixo com 4 chumbadores e capacidade de 2.500 kN</v>
          </cell>
          <cell r="BE638" t="str">
            <v>un</v>
          </cell>
          <cell r="BF638">
            <v>24573.5</v>
          </cell>
          <cell r="BG638">
            <v>0</v>
          </cell>
        </row>
        <row r="639">
          <cell r="B639">
            <v>2003462</v>
          </cell>
          <cell r="D639" t="str">
            <v>Dissipador de energia - DEB 08 - areia extraída e pedra de mão produzida</v>
          </cell>
          <cell r="E639" t="str">
            <v xml:space="preserve">un </v>
          </cell>
          <cell r="F639">
            <v>2469.3149520000002</v>
          </cell>
          <cell r="G639">
            <v>2469.3149520000002</v>
          </cell>
          <cell r="H639">
            <v>2469.3149520000002</v>
          </cell>
          <cell r="I639">
            <v>0</v>
          </cell>
          <cell r="J639">
            <v>2553.7360948000005</v>
          </cell>
          <cell r="K639">
            <v>2553.7360948000005</v>
          </cell>
          <cell r="L639">
            <v>2553.7360948000005</v>
          </cell>
          <cell r="W639" t="str">
            <v>E9782</v>
          </cell>
          <cell r="X639" t="str">
            <v>Perfuratriz pneumática com avanço de coluna de 33,5 kg</v>
          </cell>
          <cell r="Y639" t="str">
            <v>h</v>
          </cell>
          <cell r="Z639">
            <v>35.318199999999997</v>
          </cell>
          <cell r="AA639">
            <v>31.923100000000002</v>
          </cell>
          <cell r="BC639">
            <v>1108059</v>
          </cell>
          <cell r="BD639" t="str">
            <v>Microconcreto para reparos e grouteamento</v>
          </cell>
          <cell r="BE639" t="str">
            <v>m³</v>
          </cell>
          <cell r="BF639">
            <v>2198.79</v>
          </cell>
          <cell r="BG639">
            <v>0</v>
          </cell>
        </row>
        <row r="640">
          <cell r="B640">
            <v>2003707</v>
          </cell>
          <cell r="D640" t="str">
            <v>Poço de visita - PVI 16 - areia extraída e brita produzida</v>
          </cell>
          <cell r="E640" t="str">
            <v xml:space="preserve">un </v>
          </cell>
          <cell r="F640">
            <v>2552.5268000000001</v>
          </cell>
          <cell r="G640">
            <v>2552.5268000000001</v>
          </cell>
          <cell r="H640">
            <v>2552.5268000000001</v>
          </cell>
          <cell r="I640">
            <v>0</v>
          </cell>
          <cell r="J640">
            <v>2661.0817999999999</v>
          </cell>
          <cell r="K640">
            <v>2661.0817999999999</v>
          </cell>
          <cell r="L640">
            <v>2661.0817999999999</v>
          </cell>
          <cell r="W640" t="str">
            <v>M1720</v>
          </cell>
          <cell r="X640" t="str">
            <v>Geotêxtil não-tecido agulhado RT 10</v>
          </cell>
          <cell r="Y640" t="str">
            <v>m²</v>
          </cell>
          <cell r="Z640">
            <v>4.2053000000000003</v>
          </cell>
          <cell r="AA640">
            <v>0</v>
          </cell>
          <cell r="BC640" t="str">
            <v>M2761</v>
          </cell>
          <cell r="BD640" t="str">
            <v>Aparelho de apoio metálico elastomérico fixo com 4 chumbadores e capacidade de 5.500 kN</v>
          </cell>
          <cell r="BE640" t="str">
            <v>un</v>
          </cell>
          <cell r="BF640">
            <v>54061.7</v>
          </cell>
          <cell r="BG640">
            <v>0</v>
          </cell>
        </row>
        <row r="641">
          <cell r="B641">
            <v>5213364</v>
          </cell>
          <cell r="D641" t="str">
            <v>Remoção de placa de sinalização</v>
          </cell>
          <cell r="E641" t="str">
            <v>m²</v>
          </cell>
          <cell r="F641">
            <v>16.257301136363637</v>
          </cell>
          <cell r="G641">
            <v>16.257301136363637</v>
          </cell>
          <cell r="H641">
            <v>16.257301136363637</v>
          </cell>
          <cell r="I641">
            <v>0</v>
          </cell>
          <cell r="J641">
            <v>16.452964015151515</v>
          </cell>
          <cell r="K641">
            <v>16.452964015151515</v>
          </cell>
          <cell r="L641">
            <v>16.452964015151515</v>
          </cell>
          <cell r="W641" t="str">
            <v>M1665</v>
          </cell>
          <cell r="X641" t="str">
            <v>Tubo de PVC roscável de 1 1/2"</v>
          </cell>
          <cell r="Y641" t="str">
            <v>m</v>
          </cell>
          <cell r="Z641">
            <v>14.7475</v>
          </cell>
          <cell r="AA641">
            <v>0</v>
          </cell>
          <cell r="BC641" t="str">
            <v>P9835</v>
          </cell>
          <cell r="BD641" t="str">
            <v>Perfurador de tubulão a ar comprimido com insalubridade</v>
          </cell>
          <cell r="BE641" t="str">
            <v>h</v>
          </cell>
          <cell r="BF641">
            <v>51.173900000000003</v>
          </cell>
          <cell r="BG641">
            <v>38.308399999999999</v>
          </cell>
        </row>
        <row r="642">
          <cell r="B642" t="str">
            <v>CPU22</v>
          </cell>
          <cell r="D642" t="str">
            <v>Remanejamento de Torre de Transmissão</v>
          </cell>
          <cell r="E642" t="str">
            <v>un</v>
          </cell>
          <cell r="F642">
            <v>530000</v>
          </cell>
          <cell r="G642">
            <v>530000</v>
          </cell>
          <cell r="H642">
            <v>530000</v>
          </cell>
          <cell r="I642">
            <v>0</v>
          </cell>
          <cell r="J642">
            <v>530000</v>
          </cell>
          <cell r="K642">
            <v>530000</v>
          </cell>
          <cell r="L642">
            <v>530000</v>
          </cell>
          <cell r="W642" t="str">
            <v>P9847</v>
          </cell>
          <cell r="X642" t="str">
            <v>Perfurador de tubulão</v>
          </cell>
          <cell r="Y642" t="str">
            <v>h</v>
          </cell>
          <cell r="Z642">
            <v>23.1328</v>
          </cell>
          <cell r="AA642">
            <v>0</v>
          </cell>
          <cell r="BC642" t="str">
            <v>E9019</v>
          </cell>
          <cell r="BD642" t="str">
            <v>Câmara hiperbárica com filtro, serpentina e reservatório de ar - D = 1,80 m e H = 2 m</v>
          </cell>
          <cell r="BE642" t="str">
            <v>h</v>
          </cell>
          <cell r="BF642">
            <v>26.329599999999999</v>
          </cell>
          <cell r="BG642">
            <v>0</v>
          </cell>
        </row>
        <row r="643">
          <cell r="B643">
            <v>4011438</v>
          </cell>
          <cell r="D643" t="str">
            <v>Pré-misturado a quente com asfalto polímero - faixa III</v>
          </cell>
          <cell r="E643" t="str">
            <v>t</v>
          </cell>
          <cell r="F643">
            <v>119.51849948192771</v>
          </cell>
          <cell r="G643">
            <v>119.51849948192771</v>
          </cell>
          <cell r="H643">
            <v>119.51849948192771</v>
          </cell>
          <cell r="I643">
            <v>0</v>
          </cell>
          <cell r="J643">
            <v>124.29406818072289</v>
          </cell>
          <cell r="K643">
            <v>124.29406818072289</v>
          </cell>
          <cell r="L643">
            <v>124.29406818072289</v>
          </cell>
          <cell r="W643">
            <v>88247</v>
          </cell>
          <cell r="X643" t="str">
            <v>AUXILIAR DE ELETRICISTA COM ENCARGOS COMPLEMENTARES</v>
          </cell>
          <cell r="Y643" t="str">
            <v>h</v>
          </cell>
          <cell r="Z643">
            <v>21.12</v>
          </cell>
          <cell r="AA643">
            <v>0</v>
          </cell>
          <cell r="BC643" t="str">
            <v>M2773</v>
          </cell>
          <cell r="BD643" t="str">
            <v>Aparelho de apoio metálico elastomérico multidirecional com 4 chumbadores e capacidade de 2.500 kN</v>
          </cell>
          <cell r="BE643" t="str">
            <v>un</v>
          </cell>
          <cell r="BF643">
            <v>12036</v>
          </cell>
          <cell r="BG643">
            <v>0</v>
          </cell>
        </row>
        <row r="644">
          <cell r="B644">
            <v>4011368</v>
          </cell>
          <cell r="D644" t="str">
            <v>Tratamento superficial duplo com CAP - brita comercial</v>
          </cell>
          <cell r="E644" t="str">
            <v>m²</v>
          </cell>
          <cell r="F644">
            <v>2.9953056164163319</v>
          </cell>
          <cell r="G644">
            <v>2.9953056164163319</v>
          </cell>
          <cell r="H644">
            <v>2.9953056164163319</v>
          </cell>
          <cell r="I644">
            <v>0</v>
          </cell>
          <cell r="J644">
            <v>3.3002838776211512</v>
          </cell>
          <cell r="K644">
            <v>3.3002838776211512</v>
          </cell>
          <cell r="L644">
            <v>3.3002838776211512</v>
          </cell>
          <cell r="W644">
            <v>88264</v>
          </cell>
          <cell r="X644" t="str">
            <v>ELETRICISTA COM ENCARGOS COMPLEMENTARES</v>
          </cell>
          <cell r="Y644" t="str">
            <v>h</v>
          </cell>
          <cell r="Z644">
            <v>27.1</v>
          </cell>
          <cell r="AA644">
            <v>0</v>
          </cell>
          <cell r="BC644" t="str">
            <v>M2768</v>
          </cell>
          <cell r="BD644" t="str">
            <v>Aparelho de apoio metálico elastomérico unidirecional com 4 chumbadores e capacidade de 5.500 kN</v>
          </cell>
          <cell r="BE644" t="str">
            <v>un</v>
          </cell>
          <cell r="BF644">
            <v>32096</v>
          </cell>
          <cell r="BG644">
            <v>0</v>
          </cell>
        </row>
        <row r="645">
          <cell r="B645">
            <v>4011406</v>
          </cell>
          <cell r="D645" t="str">
            <v>Lama asfáltica - faixa III</v>
          </cell>
          <cell r="E645" t="str">
            <v>m²</v>
          </cell>
          <cell r="F645">
            <v>1.1492954746001176</v>
          </cell>
          <cell r="G645">
            <v>1.1492954746001176</v>
          </cell>
          <cell r="H645">
            <v>1.1492954746001176</v>
          </cell>
          <cell r="I645">
            <v>0</v>
          </cell>
          <cell r="J645">
            <v>1.2010396041707534</v>
          </cell>
          <cell r="K645">
            <v>1.2010396041707534</v>
          </cell>
          <cell r="L645">
            <v>1.2010396041707534</v>
          </cell>
          <cell r="W645">
            <v>862</v>
          </cell>
          <cell r="X645" t="str">
            <v>CABO DE COBRE NU 10 MM2 MEIO-DURO</v>
          </cell>
          <cell r="Y645" t="str">
            <v>m</v>
          </cell>
          <cell r="Z645">
            <v>5.99</v>
          </cell>
          <cell r="AA645">
            <v>0</v>
          </cell>
          <cell r="BC645" t="str">
            <v>M2766</v>
          </cell>
          <cell r="BD645" t="str">
            <v>Aparelho de apoio metálico elastomérico unidirecional com 4 chumbadores e capacidade de 2.500 kN</v>
          </cell>
          <cell r="BE645" t="str">
            <v>un</v>
          </cell>
          <cell r="BF645">
            <v>16549.5</v>
          </cell>
          <cell r="BG645">
            <v>0</v>
          </cell>
        </row>
        <row r="646">
          <cell r="B646">
            <v>6106222</v>
          </cell>
          <cell r="D646" t="str">
            <v>Escavação manual de fuste de tubulão a céu aberto na profundidade de 10 a 20 m em material de 1ª categoria</v>
          </cell>
          <cell r="E646" t="str">
            <v>m³</v>
          </cell>
          <cell r="F646">
            <v>301.59736805263896</v>
          </cell>
          <cell r="G646">
            <v>301.59736805263896</v>
          </cell>
          <cell r="H646">
            <v>301.59736805263896</v>
          </cell>
          <cell r="I646">
            <v>0</v>
          </cell>
          <cell r="J646">
            <v>309.20621587568252</v>
          </cell>
          <cell r="K646">
            <v>309.20621587568252</v>
          </cell>
          <cell r="L646">
            <v>309.20621587568252</v>
          </cell>
          <cell r="W646">
            <v>868</v>
          </cell>
          <cell r="X646" t="str">
            <v>CABO DE COBRE NU 25 MM2 MEIO-DURO</v>
          </cell>
          <cell r="Y646" t="str">
            <v>m</v>
          </cell>
          <cell r="Z646">
            <v>14.71</v>
          </cell>
          <cell r="AA646">
            <v>0</v>
          </cell>
          <cell r="BC646" t="str">
            <v>M1132</v>
          </cell>
          <cell r="BD646" t="str">
            <v>Junta em perfil extrudado de borracha vulcanizada de 20 x 40 mm</v>
          </cell>
          <cell r="BE646" t="str">
            <v>m</v>
          </cell>
          <cell r="BF646">
            <v>323</v>
          </cell>
          <cell r="BG646">
            <v>0</v>
          </cell>
        </row>
        <row r="647">
          <cell r="B647">
            <v>6106316</v>
          </cell>
          <cell r="D647" t="str">
            <v>Escavação manual de fuste de tubulão a ar comprimido na profundidade de 10 a 20 m em material de 1ª categoria</v>
          </cell>
          <cell r="E647" t="str">
            <v>m³</v>
          </cell>
          <cell r="F647">
            <v>2878.5562475504316</v>
          </cell>
          <cell r="G647">
            <v>2878.5562475504316</v>
          </cell>
          <cell r="H647">
            <v>2878.5562475504316</v>
          </cell>
          <cell r="I647">
            <v>0</v>
          </cell>
          <cell r="J647">
            <v>3036.9417078049951</v>
          </cell>
          <cell r="K647">
            <v>3036.9417078049951</v>
          </cell>
          <cell r="L647">
            <v>3036.9417078049951</v>
          </cell>
          <cell r="W647">
            <v>88316</v>
          </cell>
          <cell r="X647" t="str">
            <v>SERVENTE COM ENCARGOS COMPLEMENTARES</v>
          </cell>
          <cell r="Y647" t="str">
            <v>h</v>
          </cell>
          <cell r="Z647">
            <v>21.25</v>
          </cell>
          <cell r="AA647">
            <v>0</v>
          </cell>
          <cell r="BC647" t="str">
            <v>M2979</v>
          </cell>
          <cell r="BD647" t="str">
            <v>Chumbador em Aço CA 25</v>
          </cell>
          <cell r="BE647" t="str">
            <v>kg</v>
          </cell>
          <cell r="BF647">
            <v>4.3600000000000003</v>
          </cell>
          <cell r="BG647">
            <v>0</v>
          </cell>
        </row>
        <row r="648">
          <cell r="B648">
            <v>6106322</v>
          </cell>
          <cell r="D648" t="str">
            <v>Escavação manual de fuste de tubulão a ar comprimido na profundidade de 10 a 20 m em material de 3ª categoria</v>
          </cell>
          <cell r="E648" t="str">
            <v>m³</v>
          </cell>
          <cell r="F648">
            <v>7856.5996847546248</v>
          </cell>
          <cell r="G648">
            <v>7856.5996847546248</v>
          </cell>
          <cell r="H648">
            <v>7856.5996847546248</v>
          </cell>
          <cell r="I648">
            <v>0</v>
          </cell>
          <cell r="J648">
            <v>8407.3670806363825</v>
          </cell>
          <cell r="K648">
            <v>8407.3670806363825</v>
          </cell>
          <cell r="L648">
            <v>8407.3670806363825</v>
          </cell>
          <cell r="W648">
            <v>2510</v>
          </cell>
          <cell r="X648" t="str">
            <v>RELE FOTOELETRICO INTERNO E EXTERNO BIVOLT 1000 W, DE CONECTOR, SEM BASE</v>
          </cell>
          <cell r="Y648" t="str">
            <v>und</v>
          </cell>
          <cell r="Z648">
            <v>17.23</v>
          </cell>
          <cell r="AA648">
            <v>0</v>
          </cell>
          <cell r="BC648" t="str">
            <v>M2762</v>
          </cell>
          <cell r="BD648" t="str">
            <v>Aparelho de apoio metálico elastomérico fixo com 4 chumbadores e capacidade de 7.500 kN</v>
          </cell>
          <cell r="BE648" t="str">
            <v>un</v>
          </cell>
          <cell r="BF648">
            <v>73720.5</v>
          </cell>
          <cell r="BG648">
            <v>0</v>
          </cell>
        </row>
        <row r="649">
          <cell r="B649">
            <v>1116263</v>
          </cell>
          <cell r="C649" t="str">
            <v>SICRO</v>
          </cell>
          <cell r="D649" t="str">
            <v>Concreto para bombeamento fck = 25 MPa - confecção em central dosadora de 40 m³/h - areia e brita comerciais</v>
          </cell>
          <cell r="E649" t="str">
            <v>m³</v>
          </cell>
          <cell r="F649">
            <v>217.40500149166266</v>
          </cell>
          <cell r="G649">
            <v>217.40500149166266</v>
          </cell>
          <cell r="H649">
            <v>217.40500149166266</v>
          </cell>
          <cell r="I649">
            <v>0</v>
          </cell>
          <cell r="J649">
            <v>230.10154475477111</v>
          </cell>
          <cell r="K649">
            <v>230.10154475477111</v>
          </cell>
          <cell r="L649">
            <v>230.10154475477111</v>
          </cell>
          <cell r="W649">
            <v>1589</v>
          </cell>
          <cell r="X649" t="str">
            <v>TERMINAL METALICO A PRESSAO PARA 1 CABO DE 70 MM2, COM 1 FURO DE FIXACAO</v>
          </cell>
          <cell r="Y649" t="str">
            <v>und</v>
          </cell>
          <cell r="Z649">
            <v>5.76</v>
          </cell>
          <cell r="AA649">
            <v>0</v>
          </cell>
          <cell r="BC649" t="str">
            <v>M2760</v>
          </cell>
          <cell r="BD649" t="str">
            <v>Aparelho de apoio metálico elastomérico fixo com 4 chumbadores e capacidade de 4.000 kN</v>
          </cell>
          <cell r="BE649" t="str">
            <v>un</v>
          </cell>
          <cell r="BF649">
            <v>39317.599999999999</v>
          </cell>
          <cell r="BG649">
            <v>0</v>
          </cell>
        </row>
        <row r="650">
          <cell r="B650">
            <v>3107970</v>
          </cell>
          <cell r="D650" t="str">
            <v>Formas curvas de compensado resinado 10 mm - uso geral - utilização de 2 vezes - confecção, instalação e retirada</v>
          </cell>
          <cell r="E650" t="str">
            <v>m²</v>
          </cell>
          <cell r="F650">
            <v>94.441640250999995</v>
          </cell>
          <cell r="G650">
            <v>94.441640250999995</v>
          </cell>
          <cell r="H650">
            <v>94.441640250999995</v>
          </cell>
          <cell r="I650">
            <v>0</v>
          </cell>
          <cell r="J650">
            <v>98.534359793000007</v>
          </cell>
          <cell r="K650">
            <v>98.534359793000007</v>
          </cell>
          <cell r="L650">
            <v>98.534359793000007</v>
          </cell>
          <cell r="W650">
            <v>3379</v>
          </cell>
          <cell r="X650" t="str">
            <v>HASTE DE ATERRAMENTO EM ACO COM 3,00 M DE COMPRIMENTO E DN = 5/8", REVESTIDA COM BAIXA CAMADA DE COBRE, SEM CONECTOR</v>
          </cell>
          <cell r="Y650" t="str">
            <v>und</v>
          </cell>
          <cell r="Z650">
            <v>48.8</v>
          </cell>
          <cell r="AA650">
            <v>0</v>
          </cell>
          <cell r="BC650" t="str">
            <v>M2767</v>
          </cell>
          <cell r="BD650" t="str">
            <v>Aparelho de apoio metálico elastomérico unidirecional com 4 chumbadores e capacidade de 4.000 kN</v>
          </cell>
          <cell r="BE650" t="str">
            <v>un</v>
          </cell>
          <cell r="BF650">
            <v>22607.62</v>
          </cell>
          <cell r="BG650">
            <v>0</v>
          </cell>
        </row>
        <row r="651">
          <cell r="B651">
            <v>6106220</v>
          </cell>
          <cell r="D651" t="str">
            <v>Armação de fuste de tubulão em aço CA-50 com apoio de guindaste - fornecimento, preparo e colocação</v>
          </cell>
          <cell r="E651" t="str">
            <v>kg</v>
          </cell>
          <cell r="F651">
            <v>7.9252023791999999</v>
          </cell>
          <cell r="G651">
            <v>7.9252023791999999</v>
          </cell>
          <cell r="H651">
            <v>7.9252023791999999</v>
          </cell>
          <cell r="I651">
            <v>0</v>
          </cell>
          <cell r="J651">
            <v>8.1066313736000009</v>
          </cell>
          <cell r="K651">
            <v>8.1066313736000009</v>
          </cell>
          <cell r="L651">
            <v>8.1066313736000009</v>
          </cell>
          <cell r="W651">
            <v>88248</v>
          </cell>
          <cell r="X651" t="str">
            <v>AUXILIAR DE ENCANADOR OU BOMBEIRO HIDRÁULICO COM ENCARGOS COMPLEMENTARES</v>
          </cell>
          <cell r="Y651" t="str">
            <v>h</v>
          </cell>
          <cell r="Z651">
            <v>20.6</v>
          </cell>
          <cell r="AA651">
            <v>0</v>
          </cell>
          <cell r="BC651">
            <v>407819</v>
          </cell>
          <cell r="BD651" t="str">
            <v>Armação em aço CA-50 - fornecimento, preparo e colocação</v>
          </cell>
          <cell r="BE651" t="str">
            <v>kg</v>
          </cell>
          <cell r="BF651">
            <v>8.2200000000000006</v>
          </cell>
          <cell r="BG651">
            <v>0</v>
          </cell>
        </row>
        <row r="652">
          <cell r="B652">
            <v>6106182</v>
          </cell>
          <cell r="D652" t="str">
            <v>Base alargada de tubulão a céu aberto - escavação em material de 1ª categoria até a profundidade de 10 m - inclusive concretagem</v>
          </cell>
          <cell r="E652" t="str">
            <v>m³</v>
          </cell>
          <cell r="F652">
            <v>259.60339642230372</v>
          </cell>
          <cell r="G652">
            <v>259.60339642230372</v>
          </cell>
          <cell r="H652">
            <v>259.60339642230372</v>
          </cell>
          <cell r="I652">
            <v>0</v>
          </cell>
          <cell r="J652">
            <v>266.12808606624134</v>
          </cell>
          <cell r="K652">
            <v>266.12808606624134</v>
          </cell>
          <cell r="L652">
            <v>266.12808606624134</v>
          </cell>
          <cell r="W652">
            <v>88267</v>
          </cell>
          <cell r="X652" t="str">
            <v>ENCANADOR OU BOMBEIRO HIDRÁULICO COM ENCARGOS COMPLEMENTARES</v>
          </cell>
          <cell r="Y652" t="str">
            <v>h</v>
          </cell>
          <cell r="Z652">
            <v>26.39</v>
          </cell>
          <cell r="AA652">
            <v>0</v>
          </cell>
          <cell r="BC652">
            <v>3107967</v>
          </cell>
          <cell r="BD652" t="str">
            <v>Forma metálica em chapa 1/8' reforçada com nervuras de 40 mm x 1/8' dispostas em grelhas de 40 x 60 cm - utilização de 100 vezes - confecção,
instalação e retirada</v>
          </cell>
          <cell r="BE652" t="str">
            <v>m²</v>
          </cell>
          <cell r="BF652">
            <v>6.96</v>
          </cell>
          <cell r="BG652">
            <v>0</v>
          </cell>
        </row>
        <row r="653">
          <cell r="B653">
            <v>6106189</v>
          </cell>
          <cell r="D653" t="str">
            <v>Base alargada de tubulão a ar comprimido - escavação em material de 1ª categoria na profundidade de 10 a 20 m - inclusive concretagem</v>
          </cell>
          <cell r="E653" t="str">
            <v>m³</v>
          </cell>
          <cell r="F653">
            <v>3221.512546626016</v>
          </cell>
          <cell r="G653">
            <v>3221.512546626016</v>
          </cell>
          <cell r="H653">
            <v>3221.512546626016</v>
          </cell>
          <cell r="I653">
            <v>0</v>
          </cell>
          <cell r="J653">
            <v>3378.3675490965252</v>
          </cell>
          <cell r="K653">
            <v>3378.3675490965252</v>
          </cell>
          <cell r="L653">
            <v>3378.3675490965252</v>
          </cell>
          <cell r="W653">
            <v>88309</v>
          </cell>
          <cell r="X653" t="str">
            <v>PEDREIRO COM ENCARGOS COMPLEMENTARES</v>
          </cell>
          <cell r="Y653" t="str">
            <v>h</v>
          </cell>
          <cell r="Z653">
            <v>27.68</v>
          </cell>
          <cell r="AA653">
            <v>0</v>
          </cell>
          <cell r="BC653" t="str">
            <v>M1379</v>
          </cell>
          <cell r="BD653" t="str">
            <v>Argamassa polimérica de alto desempenho</v>
          </cell>
          <cell r="BE653" t="str">
            <v>kg</v>
          </cell>
          <cell r="BF653">
            <v>3.3464999999999998</v>
          </cell>
          <cell r="BG653">
            <v>0</v>
          </cell>
        </row>
        <row r="654">
          <cell r="B654">
            <v>6106332</v>
          </cell>
          <cell r="D654" t="str">
            <v>Base alargada de tubulão a céu aberto em material de 3ª categoria a frio na profundidade de 10 a 20 m - inclusive concretagem</v>
          </cell>
          <cell r="E654" t="str">
            <v>m³</v>
          </cell>
          <cell r="F654">
            <v>1406.0810901928414</v>
          </cell>
          <cell r="G654">
            <v>1406.0810901928414</v>
          </cell>
          <cell r="H654">
            <v>1406.0810901928414</v>
          </cell>
          <cell r="I654">
            <v>0</v>
          </cell>
          <cell r="J654">
            <v>1526.5193622205356</v>
          </cell>
          <cell r="K654">
            <v>1526.5193622205356</v>
          </cell>
          <cell r="L654">
            <v>1526.5193622205356</v>
          </cell>
          <cell r="W654">
            <v>370</v>
          </cell>
          <cell r="X654" t="str">
            <v>AREIA MEDIA - POSTO JAZIDA/FORNECEDOR (RETIRADO NA JAZIDA, SEM TRANSPORTE)</v>
          </cell>
          <cell r="Y654" t="str">
            <v>m³</v>
          </cell>
          <cell r="Z654">
            <v>51.43</v>
          </cell>
          <cell r="AA654">
            <v>0</v>
          </cell>
          <cell r="BC654" t="str">
            <v>M1385</v>
          </cell>
          <cell r="BD654" t="str">
            <v>Disco diamantado - D = 350 mm</v>
          </cell>
          <cell r="BE654" t="str">
            <v>un</v>
          </cell>
          <cell r="BF654">
            <v>247.1893</v>
          </cell>
          <cell r="BG654">
            <v>0</v>
          </cell>
        </row>
        <row r="655">
          <cell r="B655">
            <v>6106338</v>
          </cell>
          <cell r="D655" t="str">
            <v>Base alargada de tubulão a ar comprimido em material de 3ª categoria a frio na profundidade 10 a 20 m - inclusive concretagem</v>
          </cell>
          <cell r="E655" t="str">
            <v>m³</v>
          </cell>
          <cell r="F655">
            <v>7974.6541893686954</v>
          </cell>
          <cell r="G655">
            <v>7974.6541893686954</v>
          </cell>
          <cell r="H655">
            <v>7974.6541893686954</v>
          </cell>
          <cell r="I655">
            <v>0</v>
          </cell>
          <cell r="J655">
            <v>8477.7674015328321</v>
          </cell>
          <cell r="K655">
            <v>8477.7674015328321</v>
          </cell>
          <cell r="L655">
            <v>8477.7674015328321</v>
          </cell>
          <cell r="W655">
            <v>1379</v>
          </cell>
          <cell r="X655" t="str">
            <v>CIMENTO PORTLAND COMPOSTO CP II-32</v>
          </cell>
          <cell r="Y655" t="str">
            <v>kg</v>
          </cell>
          <cell r="Z655">
            <v>0.41</v>
          </cell>
          <cell r="AA655">
            <v>0</v>
          </cell>
          <cell r="BC655" t="str">
            <v>M1391</v>
          </cell>
          <cell r="BD655" t="str">
            <v>Ponteiro para martelete de 22 x 1.000 mm</v>
          </cell>
          <cell r="BE655" t="str">
            <v>un</v>
          </cell>
          <cell r="BF655">
            <v>140.41999999999999</v>
          </cell>
          <cell r="BG655">
            <v>0</v>
          </cell>
        </row>
        <row r="656">
          <cell r="B656">
            <v>1116264</v>
          </cell>
          <cell r="C656" t="str">
            <v>SICRO</v>
          </cell>
          <cell r="D656" t="str">
            <v>Concreto para bombeamento fck = 30 MPa - confecção em central dosadora de 40 m³/h - areia e brita comerciais</v>
          </cell>
          <cell r="E656" t="str">
            <v>m³</v>
          </cell>
          <cell r="F656">
            <v>228.41501498536147</v>
          </cell>
          <cell r="G656">
            <v>228.41501498536147</v>
          </cell>
          <cell r="H656">
            <v>228.41501498536147</v>
          </cell>
          <cell r="I656">
            <v>0</v>
          </cell>
          <cell r="J656">
            <v>241.04368688143373</v>
          </cell>
          <cell r="K656">
            <v>241.04368688143373</v>
          </cell>
          <cell r="L656">
            <v>241.04368688143373</v>
          </cell>
          <cell r="W656">
            <v>3279</v>
          </cell>
          <cell r="X656" t="str">
            <v>CAIXA INSPECAO, CONCRETO PRE MOLDADO, CIRCULAR, COM TAMPA, D = 60* CM, H= 60* CM</v>
          </cell>
          <cell r="Y656" t="str">
            <v>und</v>
          </cell>
          <cell r="Z656">
            <v>106.49</v>
          </cell>
          <cell r="AA656">
            <v>0</v>
          </cell>
          <cell r="BC656" t="str">
            <v>M2775</v>
          </cell>
          <cell r="BD656" t="str">
            <v>Aparelho de apoio metálico elastomérico multidirecional com 4 chumbadores e capacidade de 5.500 kN</v>
          </cell>
          <cell r="BE656" t="str">
            <v>un</v>
          </cell>
          <cell r="BF656">
            <v>28986.7</v>
          </cell>
          <cell r="BG656">
            <v>0</v>
          </cell>
        </row>
        <row r="657">
          <cell r="B657" t="str">
            <v>75029/1</v>
          </cell>
          <cell r="D657" t="str">
            <v>TUBULAÇÃO EM PVC CORRUGADO RIGIDO PERFURADO P/ DRENAGEM</v>
          </cell>
          <cell r="E657" t="str">
            <v>m</v>
          </cell>
          <cell r="F657">
            <v>50.7928</v>
          </cell>
          <cell r="G657">
            <v>50.7928</v>
          </cell>
          <cell r="H657">
            <v>50.7928</v>
          </cell>
          <cell r="I657">
            <v>0</v>
          </cell>
          <cell r="J657">
            <v>51.700320000000005</v>
          </cell>
          <cell r="K657">
            <v>51.700320000000005</v>
          </cell>
          <cell r="L657">
            <v>51.700320000000005</v>
          </cell>
          <cell r="W657">
            <v>11854</v>
          </cell>
          <cell r="X657" t="str">
            <v>CONECTOR METALICO TIPO PARAFUSO FENDIDO (SPLIT BOLT), PARA CABOS ATE 35 MM2</v>
          </cell>
          <cell r="Y657" t="str">
            <v>und</v>
          </cell>
          <cell r="Z657">
            <v>5.96</v>
          </cell>
          <cell r="AA657">
            <v>0</v>
          </cell>
          <cell r="BC657" t="str">
            <v>E9652</v>
          </cell>
          <cell r="BD657" t="str">
            <v>Compressor de ar portátil de 1146 PCM - 369 kW</v>
          </cell>
          <cell r="BE657" t="str">
            <v>h</v>
          </cell>
          <cell r="BF657">
            <v>250.96559999999999</v>
          </cell>
          <cell r="BG657">
            <v>35.549599999999998</v>
          </cell>
        </row>
        <row r="658">
          <cell r="B658">
            <v>2003866</v>
          </cell>
          <cell r="D658" t="str">
            <v>Aplicação de geotextil não-tecido agulhado RT 14</v>
          </cell>
          <cell r="E658" t="str">
            <v>m²</v>
          </cell>
          <cell r="F658">
            <v>6.8914951333333327</v>
          </cell>
          <cell r="G658">
            <v>6.8914951333333327</v>
          </cell>
          <cell r="H658">
            <v>6.8914951333333327</v>
          </cell>
          <cell r="I658">
            <v>0</v>
          </cell>
          <cell r="J658">
            <v>7.4554789333333327</v>
          </cell>
          <cell r="K658">
            <v>7.4554789333333327</v>
          </cell>
          <cell r="L658">
            <v>7.4554789333333327</v>
          </cell>
          <cell r="W658">
            <v>14164</v>
          </cell>
          <cell r="X658" t="str">
            <v>POSTE CONICO CONTINUO EM ACO GALVANIZADO, CURVO, BRACO DUPLO, ENGASTADO,  H = 9 M, DIAMETRO INFERIOR = *135* MM</v>
          </cell>
          <cell r="Y658" t="str">
            <v>und</v>
          </cell>
          <cell r="Z658">
            <v>1077.3</v>
          </cell>
          <cell r="AA658">
            <v>0</v>
          </cell>
          <cell r="BC658" t="str">
            <v>M1644</v>
          </cell>
          <cell r="BD658" t="str">
            <v>Bit de botão esférico - D = 9 7/8"</v>
          </cell>
          <cell r="BE658" t="str">
            <v>un</v>
          </cell>
          <cell r="BF658">
            <v>9688.4372000000003</v>
          </cell>
          <cell r="BG658">
            <v>0</v>
          </cell>
        </row>
        <row r="659">
          <cell r="B659">
            <v>1116266</v>
          </cell>
          <cell r="C659" t="str">
            <v>SICRO</v>
          </cell>
          <cell r="D659" t="str">
            <v>Concreto para bombeamento fck = 40 MPa - confecção em central dosadora de 40 m³/h - areia e brita comerciais</v>
          </cell>
          <cell r="E659" t="str">
            <v>m³</v>
          </cell>
          <cell r="F659">
            <v>254.40940880485542</v>
          </cell>
          <cell r="G659">
            <v>254.40940880485542</v>
          </cell>
          <cell r="H659">
            <v>254.40940880485542</v>
          </cell>
          <cell r="I659">
            <v>0</v>
          </cell>
          <cell r="J659">
            <v>266.87675407374701</v>
          </cell>
          <cell r="K659">
            <v>266.87675407374701</v>
          </cell>
          <cell r="L659">
            <v>266.87675407374701</v>
          </cell>
          <cell r="W659">
            <v>2512</v>
          </cell>
          <cell r="X659" t="str">
            <v>BRACO P/ LUMINARIA PUBLICA 1 X 1,50M ROMAGNOLE OU EQUIV</v>
          </cell>
          <cell r="Y659" t="str">
            <v>und</v>
          </cell>
          <cell r="Z659">
            <v>18.95</v>
          </cell>
          <cell r="AA659">
            <v>0</v>
          </cell>
          <cell r="BC659" t="str">
            <v>M0669</v>
          </cell>
          <cell r="BD659" t="str">
            <v>Martelo de fundo DTH - D = 8"</v>
          </cell>
          <cell r="BE659" t="str">
            <v>un</v>
          </cell>
          <cell r="BF659">
            <v>24673.8</v>
          </cell>
          <cell r="BG659">
            <v>0</v>
          </cell>
        </row>
        <row r="660">
          <cell r="B660">
            <v>2108172</v>
          </cell>
          <cell r="D660" t="str">
            <v>Escoramento com pontaletes D = 15 cm - utilização de 5 vezes - confecção, instalação e retirada</v>
          </cell>
          <cell r="E660" t="str">
            <v>m³</v>
          </cell>
          <cell r="F660">
            <v>41.663555162999998</v>
          </cell>
          <cell r="G660">
            <v>41.663555162999998</v>
          </cell>
          <cell r="H660">
            <v>41.663555162999998</v>
          </cell>
          <cell r="I660">
            <v>0</v>
          </cell>
          <cell r="J660">
            <v>44.610682828000002</v>
          </cell>
          <cell r="K660">
            <v>44.610682828000002</v>
          </cell>
          <cell r="L660">
            <v>44.610682828000002</v>
          </cell>
          <cell r="W660">
            <v>3798</v>
          </cell>
          <cell r="X660" t="str">
            <v>LUMINARIA ABERTA P/ ILUMINACAO PUBLICA, TIPO X-57 PETERCO OU EQUIV</v>
          </cell>
          <cell r="Y660" t="str">
            <v>und</v>
          </cell>
          <cell r="Z660">
            <v>40.619999999999997</v>
          </cell>
          <cell r="AA660">
            <v>0</v>
          </cell>
          <cell r="BC660" t="str">
            <v>M1150</v>
          </cell>
          <cell r="BD660" t="str">
            <v>Adesivo ADE 52 ou similar</v>
          </cell>
          <cell r="BE660" t="str">
            <v>kg</v>
          </cell>
          <cell r="BF660">
            <v>107.33329999999999</v>
          </cell>
          <cell r="BG660">
            <v>0</v>
          </cell>
        </row>
        <row r="661">
          <cell r="B661">
            <v>4507758</v>
          </cell>
          <cell r="D661" t="str">
            <v>Ancoragem ativa para 15 cordoalhas D = 15,2 mm com placa de ancoragem, bloco, cunhas tripartidas, trombeta e protensão</v>
          </cell>
          <cell r="E661" t="str">
            <v>un</v>
          </cell>
          <cell r="F661">
            <v>3200.2079408040204</v>
          </cell>
          <cell r="G661">
            <v>3200.2079408040204</v>
          </cell>
          <cell r="H661">
            <v>3200.2079408040204</v>
          </cell>
          <cell r="I661">
            <v>0</v>
          </cell>
          <cell r="J661">
            <v>3211.2217644723619</v>
          </cell>
          <cell r="K661">
            <v>3211.2217644723619</v>
          </cell>
          <cell r="L661">
            <v>3211.2217644723619</v>
          </cell>
          <cell r="W661">
            <v>1020</v>
          </cell>
          <cell r="X661" t="str">
            <v>CABO DE COBRE, FLEXIVEL, CLASSE 4 OU 5, ISOLACAO EM PVC/A, ANTICHAMA BWF-B, COBERTURA PVC-ST1, ANTICHAMA BWF-B, 1 CONDUTOR, 0,6/1 KV, SECAO NOMINAL 10 MM2</v>
          </cell>
          <cell r="Y661" t="str">
            <v>m</v>
          </cell>
          <cell r="Z661">
            <v>6.4</v>
          </cell>
          <cell r="AA661">
            <v>0</v>
          </cell>
          <cell r="BC661" t="str">
            <v>M1134</v>
          </cell>
          <cell r="BD661" t="str">
            <v>Junta em perfil extrudado de borracha vulcanizada de 25 x 50 mm</v>
          </cell>
          <cell r="BE661" t="str">
            <v>m</v>
          </cell>
          <cell r="BF661">
            <v>364</v>
          </cell>
          <cell r="BG661">
            <v>0</v>
          </cell>
        </row>
        <row r="662">
          <cell r="B662">
            <v>4507760</v>
          </cell>
          <cell r="D662" t="str">
            <v>Ancoragem ativa para 19 cordoalhas D = 15,2 mm com placa de ancoragem, bloco, cunhas tripartidas, trombeta e protensão</v>
          </cell>
          <cell r="E662" t="str">
            <v>m</v>
          </cell>
          <cell r="F662">
            <v>3887.6742975510206</v>
          </cell>
          <cell r="G662">
            <v>3887.6742975510206</v>
          </cell>
          <cell r="H662">
            <v>3887.6742975510206</v>
          </cell>
          <cell r="I662">
            <v>0</v>
          </cell>
          <cell r="J662">
            <v>3900.2944504664724</v>
          </cell>
          <cell r="K662">
            <v>3900.2944504664724</v>
          </cell>
          <cell r="L662">
            <v>3900.2944504664724</v>
          </cell>
          <cell r="W662">
            <v>21127</v>
          </cell>
          <cell r="X662" t="str">
            <v>FITA ISOLANTE ADESIVA ANTICHAMA, USO ATE 750 V, EM ROLO DE 19 MM X 5 M</v>
          </cell>
          <cell r="Y662" t="str">
            <v>und</v>
          </cell>
          <cell r="Z662">
            <v>4.34</v>
          </cell>
          <cell r="AA662">
            <v>0</v>
          </cell>
          <cell r="BC662" t="str">
            <v>E9724</v>
          </cell>
          <cell r="BD662" t="str">
            <v>Conjunto bomba e macaco hidráulico para protensão com capacidade de 4.000 kN</v>
          </cell>
          <cell r="BE662" t="str">
            <v>h</v>
          </cell>
          <cell r="BF662">
            <v>45.291400000000003</v>
          </cell>
          <cell r="BG662">
            <v>42.923099999999998</v>
          </cell>
        </row>
        <row r="663">
          <cell r="B663">
            <v>3713621</v>
          </cell>
          <cell r="D663" t="str">
            <v>Barreira simples de concreto, armada, moldada no local (perfil New Jersey) - H = 810 + 100 mm</v>
          </cell>
          <cell r="E663" t="str">
            <v>m</v>
          </cell>
          <cell r="F663">
            <v>167.28644299999999</v>
          </cell>
          <cell r="G663">
            <v>167.28644299999999</v>
          </cell>
          <cell r="H663">
            <v>167.28644299999999</v>
          </cell>
          <cell r="I663">
            <v>0</v>
          </cell>
          <cell r="J663">
            <v>171.40410199999997</v>
          </cell>
          <cell r="K663">
            <v>171.40410199999997</v>
          </cell>
          <cell r="L663">
            <v>171.40410199999997</v>
          </cell>
          <cell r="W663">
            <v>14165</v>
          </cell>
          <cell r="X663" t="str">
            <v>POSTE CONICO CONTINUO EM ACO GALVANIZADO, RETO, ENGASTADO,  H = 9 M, DIAMETRO INFERIOR = *145* MM</v>
          </cell>
          <cell r="Y663" t="str">
            <v>und</v>
          </cell>
          <cell r="Z663">
            <v>1088.5</v>
          </cell>
          <cell r="AA663">
            <v>0</v>
          </cell>
          <cell r="BC663" t="str">
            <v>M0113</v>
          </cell>
          <cell r="BD663" t="str">
            <v>Ancoragem ativa em ferro fundido nodular para 12 cordoalhas - D = 15,2 mm</v>
          </cell>
          <cell r="BE663" t="str">
            <v>un</v>
          </cell>
          <cell r="BF663">
            <v>2059.7406999999998</v>
          </cell>
          <cell r="BG663">
            <v>0</v>
          </cell>
        </row>
        <row r="664">
          <cell r="B664">
            <v>307733</v>
          </cell>
          <cell r="D664" t="str">
            <v>Junta de dilatação em perfil extrudado de borracha vulcanizada de 20 x 40 mm - fornecimento e instalação</v>
          </cell>
          <cell r="E664" t="str">
            <v>m</v>
          </cell>
          <cell r="F664">
            <v>408.87015159999999</v>
          </cell>
          <cell r="G664">
            <v>408.87015159999999</v>
          </cell>
          <cell r="H664">
            <v>408.87015159999999</v>
          </cell>
          <cell r="I664">
            <v>0</v>
          </cell>
          <cell r="J664">
            <v>409.76056</v>
          </cell>
          <cell r="K664">
            <v>409.76056</v>
          </cell>
          <cell r="L664">
            <v>409.76056</v>
          </cell>
          <cell r="W664">
            <v>122</v>
          </cell>
          <cell r="X664" t="str">
            <v>ADESIVO PLASTICO PARA PVC, FRASCO COM 850 GR</v>
          </cell>
          <cell r="Y664" t="str">
            <v>und</v>
          </cell>
          <cell r="Z664">
            <v>63.23</v>
          </cell>
          <cell r="AA664">
            <v>0</v>
          </cell>
          <cell r="BC664">
            <v>5914363</v>
          </cell>
          <cell r="BD664" t="str">
            <v>Carga, manobra e descarga de cimento a granel em silos</v>
          </cell>
          <cell r="BE664" t="str">
            <v>t</v>
          </cell>
          <cell r="BF664">
            <v>8.7100000000000009</v>
          </cell>
          <cell r="BG664">
            <v>0</v>
          </cell>
        </row>
        <row r="665">
          <cell r="B665">
            <v>307084</v>
          </cell>
          <cell r="D665" t="str">
            <v>JUNTA/RETRAÇÃO C/LÁBIO POLIM. AB. 40 ATÉ 50MM</v>
          </cell>
          <cell r="E665" t="str">
            <v>m3</v>
          </cell>
          <cell r="F665">
            <v>24.4992837052</v>
          </cell>
          <cell r="G665">
            <v>24.4992837052</v>
          </cell>
          <cell r="H665">
            <v>24.4992837052</v>
          </cell>
          <cell r="I665">
            <v>0</v>
          </cell>
          <cell r="J665">
            <v>27.967457533399998</v>
          </cell>
          <cell r="K665">
            <v>27.967457533399998</v>
          </cell>
          <cell r="L665">
            <v>27.967457533399998</v>
          </cell>
          <cell r="W665">
            <v>20083</v>
          </cell>
          <cell r="X665" t="str">
            <v>SOLUCAO LIMPADORA PARA PVC, FRASCO COM 1000 CM3</v>
          </cell>
          <cell r="Y665" t="str">
            <v>und</v>
          </cell>
          <cell r="Z665">
            <v>54.91</v>
          </cell>
          <cell r="AA665">
            <v>0</v>
          </cell>
          <cell r="BC665" t="str">
            <v>E9725</v>
          </cell>
          <cell r="BD665" t="str">
            <v>Conjunto bomba e macaco hidráulico para protensão com capacidade de 5.400 kN</v>
          </cell>
          <cell r="BE665" t="str">
            <v>h</v>
          </cell>
          <cell r="BF665">
            <v>45.662799999999997</v>
          </cell>
          <cell r="BG665">
            <v>43.133000000000003</v>
          </cell>
        </row>
        <row r="666">
          <cell r="B666">
            <v>1106109</v>
          </cell>
          <cell r="C666" t="str">
            <v>SICRO</v>
          </cell>
          <cell r="D666" t="str">
            <v>Concreto fck = 20 MPa - confecção em central dosadora de 40 m³/h - areia e brita comerciais</v>
          </cell>
          <cell r="E666" t="str">
            <v>un</v>
          </cell>
          <cell r="F666">
            <v>201.70284358726508</v>
          </cell>
          <cell r="G666">
            <v>201.70284358726508</v>
          </cell>
          <cell r="H666">
            <v>201.70284358726508</v>
          </cell>
          <cell r="I666">
            <v>0</v>
          </cell>
          <cell r="J666">
            <v>216.44332720844579</v>
          </cell>
          <cell r="K666">
            <v>216.44332720844579</v>
          </cell>
          <cell r="L666">
            <v>216.44332720844579</v>
          </cell>
          <cell r="W666">
            <v>38025</v>
          </cell>
          <cell r="X666" t="str">
            <v>CURVA DE TRANSPOSICAO, PVC, SOLDAVEL, 25 MM, PARA AGUA FRIA PREDIAL</v>
          </cell>
          <cell r="Y666" t="str">
            <v>und</v>
          </cell>
          <cell r="Z666">
            <v>4.51</v>
          </cell>
          <cell r="AA666">
            <v>0</v>
          </cell>
          <cell r="BC666" t="str">
            <v>M0138</v>
          </cell>
          <cell r="BD666" t="str">
            <v>Ancoragem ativa em ferro fundido nodular para 19 cordoalhas - D = 15,2 mm</v>
          </cell>
          <cell r="BE666" t="str">
            <v>un</v>
          </cell>
          <cell r="BF666">
            <v>3814.3186999999998</v>
          </cell>
          <cell r="BG666">
            <v>0</v>
          </cell>
        </row>
        <row r="667">
          <cell r="B667">
            <v>308318</v>
          </cell>
          <cell r="D667" t="str">
            <v>Aparelho de apoio metálico elastomérico unidirecional com capacidade de 5.500 kN - fornecimento e instalação</v>
          </cell>
          <cell r="E667" t="str">
            <v>un</v>
          </cell>
          <cell r="F667">
            <v>32346.472487344825</v>
          </cell>
          <cell r="G667">
            <v>32346.472487344825</v>
          </cell>
          <cell r="H667">
            <v>32346.472487344825</v>
          </cell>
          <cell r="I667">
            <v>0</v>
          </cell>
          <cell r="J667">
            <v>32360.034213310344</v>
          </cell>
          <cell r="K667">
            <v>32360.034213310344</v>
          </cell>
          <cell r="L667">
            <v>32360.034213310344</v>
          </cell>
          <cell r="W667">
            <v>38383</v>
          </cell>
          <cell r="X667" t="str">
            <v>LIXA D'AGUA EM FOLHA, GRAO 100</v>
          </cell>
          <cell r="Y667" t="str">
            <v>und</v>
          </cell>
          <cell r="Z667">
            <v>1.5</v>
          </cell>
          <cell r="AA667">
            <v>0</v>
          </cell>
          <cell r="BC667" t="str">
            <v>M0130</v>
          </cell>
          <cell r="BD667" t="str">
            <v>Ancoragem ativa em ferro fundido nodular para 15 cordoalhas - D = 15,2 mm</v>
          </cell>
          <cell r="BE667" t="str">
            <v>un</v>
          </cell>
          <cell r="BF667">
            <v>3135.3579</v>
          </cell>
          <cell r="BG667">
            <v>0</v>
          </cell>
        </row>
        <row r="668">
          <cell r="B668">
            <v>308309</v>
          </cell>
          <cell r="D668" t="str">
            <v>Aparelho de apoio metálico elastomérico fixo com capacidade de 2.500 kN - fornecimento e instalação</v>
          </cell>
          <cell r="E668" t="str">
            <v>un</v>
          </cell>
          <cell r="F668">
            <v>24778.967653485714</v>
          </cell>
          <cell r="G668">
            <v>24778.967653485714</v>
          </cell>
          <cell r="H668">
            <v>24778.967653485714</v>
          </cell>
          <cell r="I668">
            <v>0</v>
          </cell>
          <cell r="J668">
            <v>26357.50008068571</v>
          </cell>
          <cell r="K668">
            <v>26357.50008068571</v>
          </cell>
          <cell r="L668">
            <v>26357.50008068571</v>
          </cell>
          <cell r="W668">
            <v>5051</v>
          </cell>
          <cell r="X668" t="str">
            <v>POSTE CONICO CONTINUO EM ACO GALVANIZADO, CURVO, BRACO SIMPLES, ENGASTADO,  H = 9 M, DIAMETRO INFERIOR = *135* MM</v>
          </cell>
          <cell r="Y668" t="str">
            <v>und</v>
          </cell>
          <cell r="Z668">
            <v>1041.3499999999999</v>
          </cell>
          <cell r="AA668">
            <v>0</v>
          </cell>
          <cell r="BC668" t="str">
            <v>M2420</v>
          </cell>
          <cell r="BD668" t="str">
            <v>Parafuso cabeça abaulada M8 com porca e arruela</v>
          </cell>
          <cell r="BE668" t="str">
            <v>un</v>
          </cell>
          <cell r="BF668">
            <v>1.369</v>
          </cell>
          <cell r="BG668">
            <v>0</v>
          </cell>
        </row>
        <row r="669">
          <cell r="B669">
            <v>308316</v>
          </cell>
          <cell r="D669" t="str">
            <v>Aparelho de apoio metálico elastomérico unidirecional com capacidade de 2.500 kN - fornecimento e instalação</v>
          </cell>
          <cell r="E669" t="str">
            <v>un</v>
          </cell>
          <cell r="F669">
            <v>16756.631339585714</v>
          </cell>
          <cell r="G669">
            <v>16756.631339585714</v>
          </cell>
          <cell r="H669">
            <v>16756.631339585714</v>
          </cell>
          <cell r="I669">
            <v>0</v>
          </cell>
          <cell r="J669">
            <v>16765.430680885711</v>
          </cell>
          <cell r="K669">
            <v>16765.430680885711</v>
          </cell>
          <cell r="L669">
            <v>16765.430680885711</v>
          </cell>
          <cell r="W669">
            <v>34353</v>
          </cell>
          <cell r="X669" t="str">
            <v>ARGAMASSA COLANTE AC-II</v>
          </cell>
          <cell r="Y669" t="str">
            <v>kg</v>
          </cell>
          <cell r="Z669">
            <v>1</v>
          </cell>
          <cell r="AA669">
            <v>0</v>
          </cell>
          <cell r="BC669" t="str">
            <v>M0285</v>
          </cell>
          <cell r="BD669" t="str">
            <v>Pontalete para escoramento - D = 15 cm</v>
          </cell>
          <cell r="BE669" t="str">
            <v>m</v>
          </cell>
          <cell r="BF669">
            <v>9.7772000000000006</v>
          </cell>
          <cell r="BG669">
            <v>0</v>
          </cell>
        </row>
        <row r="670">
          <cell r="B670">
            <v>308323</v>
          </cell>
          <cell r="D670" t="str">
            <v>Aparelho de apoio metálico elastomérico multidirecional com capacidade de 2.500 kN - fornecimento e instalação</v>
          </cell>
          <cell r="E670" t="str">
            <v>und</v>
          </cell>
          <cell r="F670">
            <v>12242.955494885715</v>
          </cell>
          <cell r="G670">
            <v>12242.955494885715</v>
          </cell>
          <cell r="H670">
            <v>12242.955494885715</v>
          </cell>
          <cell r="I670">
            <v>0</v>
          </cell>
          <cell r="J670">
            <v>12244.109110885716</v>
          </cell>
          <cell r="K670">
            <v>12244.109110885716</v>
          </cell>
          <cell r="L670">
            <v>12244.109110885716</v>
          </cell>
          <cell r="W670">
            <v>91692</v>
          </cell>
          <cell r="X670" t="str">
            <v>SERRA CIRCULAR DE BANCADA COM MOTOR ELÉTRICO POTÊNCIA DE 5HP, COM COIFA PARA DISCO 10" - CHP DIURNO. AF_08/2015</v>
          </cell>
          <cell r="Y670" t="str">
            <v>kg</v>
          </cell>
          <cell r="Z670">
            <v>30.09</v>
          </cell>
          <cell r="AA670">
            <v>0</v>
          </cell>
          <cell r="BC670" t="str">
            <v>M0421</v>
          </cell>
          <cell r="BD670" t="str">
            <v>Cimento expansivo (tipo Demox)</v>
          </cell>
          <cell r="BE670" t="str">
            <v>kg</v>
          </cell>
          <cell r="BF670">
            <v>4.5</v>
          </cell>
          <cell r="BG670">
            <v>0</v>
          </cell>
        </row>
        <row r="671">
          <cell r="B671">
            <v>4507756</v>
          </cell>
          <cell r="D671" t="str">
            <v>Ancoragem ativa para 12 cordoalhas D = 15,2 mm com placa de ancoragem, bloco, cunhas tripartidas, trombeta e protensão</v>
          </cell>
          <cell r="E671" t="str">
            <v>m2</v>
          </cell>
          <cell r="F671">
            <v>2115.567160666667</v>
          </cell>
          <cell r="G671">
            <v>2115.567160666667</v>
          </cell>
          <cell r="H671">
            <v>2115.567160666667</v>
          </cell>
          <cell r="I671">
            <v>0</v>
          </cell>
          <cell r="J671">
            <v>2122.6178344746131</v>
          </cell>
          <cell r="K671">
            <v>2122.6178344746131</v>
          </cell>
          <cell r="L671">
            <v>2122.6178344746131</v>
          </cell>
          <cell r="W671">
            <v>91693</v>
          </cell>
          <cell r="X671" t="str">
            <v>SERRA CIRCULAR DE BANCADA COM MOTOR ELÉTRICO POTÊNCIA DE 5HP, COM COIFA PARA DISCO 10" - CHI DIURNO. AF_08/2015</v>
          </cell>
          <cell r="Y671" t="str">
            <v>h</v>
          </cell>
          <cell r="Z671">
            <v>28.06</v>
          </cell>
          <cell r="AA671">
            <v>0</v>
          </cell>
          <cell r="BC671">
            <v>88247</v>
          </cell>
          <cell r="BD671" t="str">
            <v>AUXILIAR DE ELETRICISTA COM ENCARGOS COMPLEMENTARES</v>
          </cell>
          <cell r="BE671" t="str">
            <v>h</v>
          </cell>
          <cell r="BF671">
            <v>19.739999999999998</v>
          </cell>
          <cell r="BG671">
            <v>0</v>
          </cell>
        </row>
        <row r="672">
          <cell r="B672">
            <v>3106427</v>
          </cell>
          <cell r="D672" t="str">
            <v>Forma metálica para viga de concreto pré-moldada protendida para OAE - utilização de 20 vezes - confecção, instalação e retirada</v>
          </cell>
          <cell r="E672" t="str">
            <v>m</v>
          </cell>
          <cell r="F672">
            <v>57.887782400000006</v>
          </cell>
          <cell r="G672">
            <v>57.887782400000006</v>
          </cell>
          <cell r="H672">
            <v>57.887782400000006</v>
          </cell>
          <cell r="I672">
            <v>0</v>
          </cell>
          <cell r="J672">
            <v>59.044606699999996</v>
          </cell>
          <cell r="K672">
            <v>59.044606699999996</v>
          </cell>
          <cell r="L672">
            <v>59.044606699999996</v>
          </cell>
          <cell r="W672">
            <v>88239</v>
          </cell>
          <cell r="X672" t="str">
            <v>AJUDANTE DE CARPINTEIRO COM ENCARGOS COMPLEMENTARES</v>
          </cell>
          <cell r="Y672" t="str">
            <v>h</v>
          </cell>
          <cell r="Z672">
            <v>22.56</v>
          </cell>
          <cell r="AA672">
            <v>0</v>
          </cell>
          <cell r="BC672">
            <v>88264</v>
          </cell>
          <cell r="BD672" t="str">
            <v>ELETRICISTA COM ENCARGOS COMPLEMENTARES</v>
          </cell>
          <cell r="BE672" t="str">
            <v>h</v>
          </cell>
          <cell r="BF672">
            <v>25.97</v>
          </cell>
          <cell r="BG672">
            <v>0</v>
          </cell>
        </row>
        <row r="673">
          <cell r="B673">
            <v>307734</v>
          </cell>
          <cell r="D673" t="str">
            <v>Junta de dilatação em perfil extrudado de borracha vulcanizada de 25 x 50 mm - fornecimento e instalação</v>
          </cell>
          <cell r="E673" t="str">
            <v>m</v>
          </cell>
          <cell r="F673">
            <v>469.19834007272726</v>
          </cell>
          <cell r="G673">
            <v>469.19834007272726</v>
          </cell>
          <cell r="H673">
            <v>469.19834007272726</v>
          </cell>
          <cell r="I673">
            <v>0</v>
          </cell>
          <cell r="J673">
            <v>470.57355942854542</v>
          </cell>
          <cell r="K673">
            <v>470.57355942854542</v>
          </cell>
          <cell r="L673">
            <v>470.57355942854542</v>
          </cell>
          <cell r="W673">
            <v>88262</v>
          </cell>
          <cell r="X673" t="str">
            <v>CARPINTEIRO DE FORMAS COM ENCARGOS COMPLEMENTARES</v>
          </cell>
          <cell r="Y673" t="str">
            <v>h</v>
          </cell>
          <cell r="Z673">
            <v>26.75</v>
          </cell>
          <cell r="AA673">
            <v>0</v>
          </cell>
          <cell r="BC673">
            <v>862</v>
          </cell>
          <cell r="BD673" t="str">
            <v>CABO DE COBRE NU 10 MM2 MEIO-DURO</v>
          </cell>
          <cell r="BE673" t="str">
            <v>m</v>
          </cell>
          <cell r="BF673">
            <v>4.5999999999999996</v>
          </cell>
          <cell r="BG673">
            <v>0</v>
          </cell>
        </row>
        <row r="674">
          <cell r="B674">
            <v>2306070</v>
          </cell>
          <cell r="D674" t="str">
            <v>Estaca raiz perfurada na rocha com D = 31 cm - confecção</v>
          </cell>
          <cell r="E674" t="str">
            <v>un</v>
          </cell>
          <cell r="F674">
            <v>864.21519939333314</v>
          </cell>
          <cell r="G674">
            <v>864.21519939333314</v>
          </cell>
          <cell r="H674">
            <v>864.21519939333314</v>
          </cell>
          <cell r="I674">
            <v>0</v>
          </cell>
          <cell r="J674">
            <v>875.64369578599997</v>
          </cell>
          <cell r="K674">
            <v>875.64369578599997</v>
          </cell>
          <cell r="L674">
            <v>875.64369578599997</v>
          </cell>
          <cell r="W674">
            <v>1345</v>
          </cell>
          <cell r="X674" t="str">
            <v>CHAPA DE MADEIRA COMPENSADA PLASTIFICADA PARA FORMA DE CONCRETO, DE 2,20 x 1,10 M, E = 18 MM</v>
          </cell>
          <cell r="Y674" t="str">
            <v>m²</v>
          </cell>
          <cell r="Z674">
            <v>30.75</v>
          </cell>
          <cell r="AA674">
            <v>0</v>
          </cell>
          <cell r="BC674">
            <v>868</v>
          </cell>
          <cell r="BD674" t="str">
            <v>CABO DE COBRE NU 25 MM2 MEIO-DURO</v>
          </cell>
          <cell r="BE674" t="str">
            <v>m</v>
          </cell>
          <cell r="BF674">
            <v>11.32</v>
          </cell>
          <cell r="BG674">
            <v>0</v>
          </cell>
        </row>
        <row r="675">
          <cell r="B675">
            <v>308325</v>
          </cell>
          <cell r="D675" t="str">
            <v>Aparelho de apoio metálico elastomérico multidirecional com capacidade de 5.500 kN - fornecimento e instalação</v>
          </cell>
          <cell r="E675" t="str">
            <v>m³</v>
          </cell>
          <cell r="F675">
            <v>29237.722204344827</v>
          </cell>
          <cell r="G675">
            <v>29237.722204344827</v>
          </cell>
          <cell r="H675">
            <v>29237.722204344827</v>
          </cell>
          <cell r="I675">
            <v>0</v>
          </cell>
          <cell r="J675">
            <v>29250.511047310345</v>
          </cell>
          <cell r="K675">
            <v>29250.511047310345</v>
          </cell>
          <cell r="L675">
            <v>29250.511047310345</v>
          </cell>
          <cell r="W675">
            <v>4491</v>
          </cell>
          <cell r="X675" t="str">
            <v>PECA DE MADEIRA NATIVA / REGIONAL 7,5 X 7,5CM (3X3) NAO APARELHADA (P/FORMA)</v>
          </cell>
          <cell r="Y675" t="str">
            <v>m</v>
          </cell>
          <cell r="Z675">
            <v>4.17</v>
          </cell>
          <cell r="AA675">
            <v>0</v>
          </cell>
          <cell r="BC675">
            <v>88316</v>
          </cell>
          <cell r="BD675" t="str">
            <v>SERVENTE COM ENCARGOS COMPLEMENTARES</v>
          </cell>
          <cell r="BE675" t="str">
            <v>h</v>
          </cell>
          <cell r="BF675">
            <v>20.02</v>
          </cell>
          <cell r="BG675">
            <v>0</v>
          </cell>
        </row>
        <row r="676">
          <cell r="B676">
            <v>6106317</v>
          </cell>
          <cell r="D676" t="str">
            <v>Escavação manual de fuste de tubulão a ar comprimido na profundidade de 20 a 30 m em material de 1ª categoria</v>
          </cell>
          <cell r="E676" t="str">
            <v>m</v>
          </cell>
          <cell r="F676">
            <v>4877.6381896265557</v>
          </cell>
          <cell r="G676">
            <v>4877.6381896265557</v>
          </cell>
          <cell r="H676">
            <v>4877.6381896265557</v>
          </cell>
          <cell r="I676">
            <v>0</v>
          </cell>
          <cell r="J676">
            <v>5139.084219837976</v>
          </cell>
          <cell r="K676">
            <v>5139.084219837976</v>
          </cell>
          <cell r="L676">
            <v>5139.084219837976</v>
          </cell>
          <cell r="W676">
            <v>4517</v>
          </cell>
          <cell r="X676" t="str">
            <v>PECA DE MADEIRA NATIVA/REGIONAL 2,5 X 7,0 CM (SARRAFO-P/FORMA)</v>
          </cell>
          <cell r="Y676" t="str">
            <v>m</v>
          </cell>
          <cell r="Z676">
            <v>1.5</v>
          </cell>
          <cell r="AA676">
            <v>0</v>
          </cell>
          <cell r="BC676">
            <v>2510</v>
          </cell>
          <cell r="BD676" t="str">
            <v>RELE FOTOELETRICO INTERNO E EXTERNO BIVOLT 1000 W, DE CONECTOR, SEM BASE</v>
          </cell>
          <cell r="BE676" t="str">
            <v>und</v>
          </cell>
          <cell r="BF676">
            <v>17.23</v>
          </cell>
          <cell r="BG676">
            <v>0</v>
          </cell>
        </row>
        <row r="677">
          <cell r="B677">
            <v>308317</v>
          </cell>
          <cell r="D677" t="str">
            <v>Aparelho de apoio metálico elastomérico unidirecional com capacidade de 4.000 kN - fornecimento e instalação</v>
          </cell>
          <cell r="E677" t="str">
            <v>un</v>
          </cell>
          <cell r="F677">
            <v>22834.688567075002</v>
          </cell>
          <cell r="G677">
            <v>22834.688567075002</v>
          </cell>
          <cell r="H677">
            <v>22834.688567075002</v>
          </cell>
          <cell r="I677">
            <v>0</v>
          </cell>
          <cell r="J677">
            <v>22846.065810274999</v>
          </cell>
          <cell r="K677">
            <v>22846.065810274999</v>
          </cell>
          <cell r="L677">
            <v>22846.065810274999</v>
          </cell>
          <cell r="W677">
            <v>5068</v>
          </cell>
          <cell r="X677" t="str">
            <v>PREGO DE ACO POLIDO COM CABECA 17 X 21 (2 X 11)</v>
          </cell>
          <cell r="Y677" t="str">
            <v>kg</v>
          </cell>
          <cell r="Z677">
            <v>10.46</v>
          </cell>
          <cell r="AA677">
            <v>0</v>
          </cell>
          <cell r="BC677">
            <v>1589</v>
          </cell>
          <cell r="BD677" t="str">
            <v>TERMINAL METALICO A PRESSAO PARA 1 CABO DE 70 MM2, COM 1 FURO DE FIXACAO</v>
          </cell>
          <cell r="BE677" t="str">
            <v>und</v>
          </cell>
          <cell r="BF677">
            <v>5.99</v>
          </cell>
          <cell r="BG677">
            <v>0</v>
          </cell>
        </row>
        <row r="678">
          <cell r="B678">
            <v>308311</v>
          </cell>
          <cell r="D678" t="str">
            <v>Aparelho de apoio metálico elastomérico fixo com capacidade de 5.500 kN - fornecimento e instalação</v>
          </cell>
          <cell r="E678" t="str">
            <v>un</v>
          </cell>
          <cell r="F678">
            <v>54311.164770344825</v>
          </cell>
          <cell r="G678">
            <v>54311.164770344825</v>
          </cell>
          <cell r="H678">
            <v>54311.164770344825</v>
          </cell>
          <cell r="I678">
            <v>0</v>
          </cell>
          <cell r="J678">
            <v>54322.235079310347</v>
          </cell>
          <cell r="K678">
            <v>54322.235079310347</v>
          </cell>
          <cell r="L678">
            <v>54322.235079310347</v>
          </cell>
          <cell r="W678">
            <v>90586</v>
          </cell>
          <cell r="X678" t="str">
            <v>VIBRADOR DE IMERSÃO, DIÂMETRO DE PONTEIRA 45MM, MOTOR ELÉTRICO TRIFÁSICO POTÊNCIA DE 2 CV - CHP DIURNO. AF_06/2015</v>
          </cell>
          <cell r="Y678" t="str">
            <v>h</v>
          </cell>
          <cell r="Z678">
            <v>1.26</v>
          </cell>
          <cell r="AA678">
            <v>0</v>
          </cell>
          <cell r="BC678">
            <v>3379</v>
          </cell>
          <cell r="BD678" t="str">
            <v>HASTE DE ATERRAMENTO EM ACO COM 3,00 M DE COMPRIMENTO E DN = 5/8", REVESTIDA COM BAIXA CAMADA DE COBRE, SEM CONECTOR</v>
          </cell>
          <cell r="BE678" t="str">
            <v>und</v>
          </cell>
          <cell r="BF678">
            <v>42.58</v>
          </cell>
          <cell r="BG678">
            <v>0</v>
          </cell>
        </row>
        <row r="679">
          <cell r="B679">
            <v>308312</v>
          </cell>
          <cell r="D679" t="str">
            <v>Aparelho de apoio metálico elastomérico fixo com capacidade de 7.500 kN - fornecimento e instalação</v>
          </cell>
          <cell r="E679" t="str">
            <v>m</v>
          </cell>
          <cell r="F679">
            <v>74004.901596800002</v>
          </cell>
          <cell r="G679">
            <v>74004.901596800002</v>
          </cell>
          <cell r="H679">
            <v>74004.901596800002</v>
          </cell>
          <cell r="I679">
            <v>0</v>
          </cell>
          <cell r="J679">
            <v>74020.111589600012</v>
          </cell>
          <cell r="K679">
            <v>74020.111589600012</v>
          </cell>
          <cell r="L679">
            <v>74020.111589600012</v>
          </cell>
          <cell r="W679">
            <v>90587</v>
          </cell>
          <cell r="X679" t="str">
            <v>VIBRADOR DE IMERSÃO, DIÂMETRO DE PONTEIRA 45MM, MOTOR ELÉTRICO TRIFÁSICO POTÊNCIA DE 2 CV - CHI DIURNO. AF_06/2015</v>
          </cell>
          <cell r="Y679" t="str">
            <v>h</v>
          </cell>
          <cell r="Z679">
            <v>0.28999999999999998</v>
          </cell>
          <cell r="AA679">
            <v>0</v>
          </cell>
          <cell r="BC679">
            <v>88248</v>
          </cell>
          <cell r="BD679" t="str">
            <v>AUXILIAR DE ENCANADOR OU BOMBEIRO HIDRÁULICO COM ENCARGOS COMPLEMENTARES</v>
          </cell>
          <cell r="BE679" t="str">
            <v>h</v>
          </cell>
          <cell r="BF679">
            <v>18.54</v>
          </cell>
          <cell r="BG679">
            <v>0</v>
          </cell>
        </row>
        <row r="680">
          <cell r="B680">
            <v>90694</v>
          </cell>
          <cell r="D680" t="str">
            <v>TUBO DE PVC SR Ø 100 MM</v>
          </cell>
          <cell r="E680" t="str">
            <v>un</v>
          </cell>
          <cell r="F680">
            <v>22.380182000000001</v>
          </cell>
          <cell r="G680">
            <v>22.380182000000001</v>
          </cell>
          <cell r="H680">
            <v>22.380182000000001</v>
          </cell>
          <cell r="I680">
            <v>0</v>
          </cell>
          <cell r="J680">
            <v>22.457748000000002</v>
          </cell>
          <cell r="K680">
            <v>22.457748000000002</v>
          </cell>
          <cell r="L680">
            <v>22.457748000000002</v>
          </cell>
          <cell r="W680">
            <v>90692</v>
          </cell>
          <cell r="X680" t="str">
            <v>MINICARREGADEIRA SOBRE RODAS, POTÊNCIA LÍQUIDA DE 47 HP, CAPACIDADE NOMINAL DE OPERAÇÃO DE 646 KG - CHP DIURNO. AF_06/2015</v>
          </cell>
          <cell r="Y680" t="str">
            <v>h</v>
          </cell>
          <cell r="Z680">
            <v>80.72</v>
          </cell>
          <cell r="AA680">
            <v>0</v>
          </cell>
          <cell r="BC680">
            <v>88267</v>
          </cell>
          <cell r="BD680" t="str">
            <v>ENCANADOR OU BOMBEIRO HIDRÁULICO COM ENCARGOS COMPLEMENTARES</v>
          </cell>
          <cell r="BE680" t="str">
            <v>h</v>
          </cell>
          <cell r="BF680">
            <v>24.28</v>
          </cell>
          <cell r="BG680">
            <v>0</v>
          </cell>
        </row>
        <row r="681">
          <cell r="B681">
            <v>308310</v>
          </cell>
          <cell r="D681" t="str">
            <v>Aparelho de apoio metálico elastomérico fixo com capacidade de 4.000 kN - fornecimento e instalação</v>
          </cell>
          <cell r="E681" t="str">
            <v>un</v>
          </cell>
          <cell r="F681">
            <v>39543.437322674996</v>
          </cell>
          <cell r="G681">
            <v>39543.437322674996</v>
          </cell>
          <cell r="H681">
            <v>39543.437322674996</v>
          </cell>
          <cell r="I681">
            <v>0</v>
          </cell>
          <cell r="J681">
            <v>39551.649625474995</v>
          </cell>
          <cell r="K681">
            <v>39551.649625474995</v>
          </cell>
          <cell r="L681">
            <v>39551.649625474995</v>
          </cell>
          <cell r="W681">
            <v>92775</v>
          </cell>
          <cell r="X681" t="str">
            <v>ARMAÇÃO DE PILAR OU VIGA DE UMA ESTRUTURA CONVENCIONAL DE CONCRETO ARMADO EM UMA EDIFICAÇÃO TÉRREA OU SOBRADO UTILIZANDO AÇO CA-60 DE 5,0 MM - MONTAGEM. AF_12/2015</v>
          </cell>
          <cell r="Y681" t="str">
            <v>kg</v>
          </cell>
          <cell r="Z681">
            <v>15.18</v>
          </cell>
          <cell r="AA681">
            <v>0</v>
          </cell>
          <cell r="BC681">
            <v>88309</v>
          </cell>
          <cell r="BD681" t="str">
            <v>PEDREIRO COM ENCARGOS COMPLEMENTARES</v>
          </cell>
          <cell r="BE681" t="str">
            <v>h</v>
          </cell>
          <cell r="BF681">
            <v>24.22</v>
          </cell>
          <cell r="BG681">
            <v>0</v>
          </cell>
        </row>
        <row r="682">
          <cell r="B682">
            <v>6106218</v>
          </cell>
          <cell r="D682" t="str">
            <v>Colocação e retirada de campânula de ar comprimido em tubulão com apoio de guindaste</v>
          </cell>
          <cell r="E682" t="str">
            <v>m</v>
          </cell>
          <cell r="F682">
            <v>236.05953699999998</v>
          </cell>
          <cell r="G682">
            <v>236.05953699999998</v>
          </cell>
          <cell r="H682">
            <v>236.05953699999998</v>
          </cell>
          <cell r="I682">
            <v>0</v>
          </cell>
          <cell r="J682">
            <v>236.01596640000002</v>
          </cell>
          <cell r="K682">
            <v>236.01596640000002</v>
          </cell>
          <cell r="L682">
            <v>236.01596640000002</v>
          </cell>
          <cell r="W682">
            <v>92777</v>
          </cell>
          <cell r="X682" t="str">
            <v>ARMAÇÃO DE PILAR OU VIGA DE UMA ESTRUTURA CONVENCIONAL DE CONCRETO ARMADO EM UMA EDIFICAÇÃO TÉRREA OU SOBRADO UTILIZANDO AÇO CA-50 DE 8,0 MM - MONTAGEM. AF_12/2015</v>
          </cell>
          <cell r="Y682" t="str">
            <v>kg</v>
          </cell>
          <cell r="Z682">
            <v>11.6</v>
          </cell>
          <cell r="AA682">
            <v>0</v>
          </cell>
          <cell r="BC682">
            <v>370</v>
          </cell>
          <cell r="BD682" t="str">
            <v>AREIA MEDIA - POSTO JAZIDA/FORNECEDOR (RETIRADO NA JAZIDA, SEM TRANSPORTE)</v>
          </cell>
          <cell r="BE682" t="str">
            <v>m³</v>
          </cell>
          <cell r="BF682">
            <v>52.48</v>
          </cell>
          <cell r="BG682">
            <v>0</v>
          </cell>
        </row>
        <row r="683">
          <cell r="B683">
            <v>2003371</v>
          </cell>
          <cell r="C683" t="str">
            <v>SICRO</v>
          </cell>
          <cell r="D683" t="str">
            <v>Meio fio de concreto - MFC 02 - areia e brita comerciais - forma de madeira</v>
          </cell>
          <cell r="E683" t="str">
            <v>m</v>
          </cell>
          <cell r="F683">
            <v>39.751181000000003</v>
          </cell>
          <cell r="G683">
            <v>39.751181000000003</v>
          </cell>
          <cell r="H683">
            <v>39.751181000000003</v>
          </cell>
          <cell r="I683">
            <v>0</v>
          </cell>
          <cell r="J683">
            <v>42.281571999999997</v>
          </cell>
          <cell r="K683">
            <v>42.281571999999997</v>
          </cell>
          <cell r="L683">
            <v>42.281571999999997</v>
          </cell>
          <cell r="W683">
            <v>94972</v>
          </cell>
          <cell r="X683" t="str">
            <v>CONCRETO FCK = 30MPA, TRAÇO 1:2,1:2,5 (CIMENTO/ AREIA MÉDIA/ BRITA 1)  - PREPARO MECÂNICO COM BETONEIRA 600 L. AF_07/2016</v>
          </cell>
          <cell r="Y683" t="str">
            <v>m³</v>
          </cell>
          <cell r="Z683">
            <v>306.17</v>
          </cell>
          <cell r="AA683">
            <v>0</v>
          </cell>
          <cell r="BC683">
            <v>1379</v>
          </cell>
          <cell r="BD683" t="str">
            <v>CIMENTO PORTLAND COMPOSTO CP II-32</v>
          </cell>
          <cell r="BE683" t="str">
            <v>kg</v>
          </cell>
          <cell r="BF683">
            <v>0.39</v>
          </cell>
          <cell r="BG683">
            <v>0</v>
          </cell>
        </row>
        <row r="684">
          <cell r="B684">
            <v>2004513</v>
          </cell>
          <cell r="D684" t="str">
            <v>Selo asfáltico de microvala de pavimento</v>
          </cell>
          <cell r="E684" t="str">
            <v>m</v>
          </cell>
          <cell r="F684">
            <v>0.12997456492637213</v>
          </cell>
          <cell r="G684">
            <v>0.12997456492637213</v>
          </cell>
          <cell r="H684">
            <v>0.12997456492637213</v>
          </cell>
          <cell r="I684">
            <v>0</v>
          </cell>
          <cell r="J684">
            <v>0.17452761044176707</v>
          </cell>
          <cell r="K684">
            <v>0.17452761044176707</v>
          </cell>
          <cell r="L684">
            <v>0.17452761044176707</v>
          </cell>
          <cell r="W684">
            <v>88261</v>
          </cell>
          <cell r="X684" t="str">
            <v>CARPINTEIRO DE ESQUADRIA COM ENCARGOS COMPLEMENTARES</v>
          </cell>
          <cell r="Y684" t="str">
            <v>h</v>
          </cell>
          <cell r="Z684">
            <v>28.31</v>
          </cell>
          <cell r="AA684">
            <v>0</v>
          </cell>
          <cell r="BC684">
            <v>3279</v>
          </cell>
          <cell r="BD684" t="str">
            <v>CAIXA INSPECAO, CONCRETO PRE MOLDADO, CIRCULAR, COM TAMPA, D = 60* CM, H= 60* CM</v>
          </cell>
          <cell r="BE684" t="str">
            <v>und</v>
          </cell>
          <cell r="BF684">
            <v>94.99</v>
          </cell>
          <cell r="BG684">
            <v>0</v>
          </cell>
        </row>
        <row r="685">
          <cell r="B685" t="str">
            <v>26.11.03.03</v>
          </cell>
          <cell r="D685" t="str">
            <v xml:space="preserve">LANÇAMENTO DE PLACA PRE MOLDADA DE CONCRETO, ATE 1000 KG.                      </v>
          </cell>
          <cell r="E685" t="str">
            <v>un</v>
          </cell>
          <cell r="F685">
            <v>136.48859999999999</v>
          </cell>
          <cell r="G685">
            <v>136.48859999999999</v>
          </cell>
          <cell r="H685">
            <v>136.48859999999999</v>
          </cell>
          <cell r="I685">
            <v>0</v>
          </cell>
          <cell r="J685">
            <v>137.67865</v>
          </cell>
          <cell r="K685">
            <v>137.67865</v>
          </cell>
          <cell r="L685">
            <v>137.67865</v>
          </cell>
          <cell r="W685">
            <v>1358</v>
          </cell>
          <cell r="X685" t="str">
            <v>CHAPA DE MADEIRA COMPENSADA RESINADA PARA FORMA DE CONCRETO, DE *2,2 X 1,1* M, E = 17 MM</v>
          </cell>
          <cell r="Y685" t="str">
            <v>m²</v>
          </cell>
          <cell r="Z685">
            <v>31.57</v>
          </cell>
          <cell r="AA685">
            <v>0</v>
          </cell>
          <cell r="BC685">
            <v>11854</v>
          </cell>
          <cell r="BD685" t="str">
            <v>CONECTOR METALICO TIPO PARAFUSO FENDIDO (SPLIT BOLT), PARA CABOS ATE 35 MM2</v>
          </cell>
          <cell r="BE685" t="str">
            <v>und</v>
          </cell>
          <cell r="BF685">
            <v>6.21</v>
          </cell>
          <cell r="BG685">
            <v>0</v>
          </cell>
        </row>
        <row r="686">
          <cell r="B686" t="str">
            <v>E9041</v>
          </cell>
          <cell r="D686" t="str">
            <v>Caminhão carroceria com guindauto com capacidade de 45 t.m - 188 Kw</v>
          </cell>
          <cell r="E686" t="str">
            <v>UN X MÊS</v>
          </cell>
          <cell r="F686">
            <v>35681.167999999998</v>
          </cell>
          <cell r="G686">
            <v>35681.167999999998</v>
          </cell>
          <cell r="H686">
            <v>35681.167999999998</v>
          </cell>
          <cell r="I686">
            <v>0</v>
          </cell>
          <cell r="J686">
            <v>36841.024000000005</v>
          </cell>
          <cell r="K686">
            <v>36841.024000000005</v>
          </cell>
          <cell r="L686">
            <v>36841.024000000005</v>
          </cell>
          <cell r="W686">
            <v>2692</v>
          </cell>
          <cell r="X686" t="str">
            <v>DESMOLDANTE PROTETOR PARA FORMAS DE MADEIRA, DE BASE OLEOSA EMULSIONADA EM AGUA</v>
          </cell>
          <cell r="Y686" t="str">
            <v>l</v>
          </cell>
          <cell r="Z686">
            <v>262.57</v>
          </cell>
          <cell r="AA686">
            <v>0</v>
          </cell>
          <cell r="BC686">
            <v>14164</v>
          </cell>
          <cell r="BD686" t="str">
            <v>POSTE CONICO CONTINUO EM ACO GALVANIZADO, CURVO, BRACO DUPLO, ENGASTADO,  H = 9 M, DIAMETRO INFERIOR = *135* MM</v>
          </cell>
          <cell r="BE686" t="str">
            <v>und</v>
          </cell>
          <cell r="BF686">
            <v>1077.3</v>
          </cell>
          <cell r="BG686">
            <v>0</v>
          </cell>
        </row>
        <row r="687">
          <cell r="B687">
            <v>4805765</v>
          </cell>
          <cell r="D687" t="str">
            <v>Escavação de vala em material de 3ª categoria</v>
          </cell>
          <cell r="E687" t="str">
            <v>M3</v>
          </cell>
          <cell r="F687">
            <v>322.84619379605897</v>
          </cell>
          <cell r="G687">
            <v>322.84619379605897</v>
          </cell>
          <cell r="H687">
            <v>322.84619379605897</v>
          </cell>
          <cell r="I687">
            <v>0</v>
          </cell>
          <cell r="J687">
            <v>332.35170945208387</v>
          </cell>
          <cell r="K687">
            <v>332.35170945208387</v>
          </cell>
          <cell r="L687">
            <v>332.35170945208387</v>
          </cell>
          <cell r="W687">
            <v>20247</v>
          </cell>
          <cell r="X687" t="str">
            <v>PREGO DE ACO POLIDO COM CABECA 15 X 15 (1 1/4 X 13)</v>
          </cell>
          <cell r="Y687" t="str">
            <v>kg</v>
          </cell>
          <cell r="Z687">
            <v>11.59</v>
          </cell>
          <cell r="AA687">
            <v>0</v>
          </cell>
          <cell r="BC687">
            <v>2512</v>
          </cell>
          <cell r="BD687" t="str">
            <v>BRACO P/ LUMINARIA PUBLICA 1 X 1,50M ROMAGNOLE OU EQUIV</v>
          </cell>
          <cell r="BE687" t="str">
            <v>und</v>
          </cell>
          <cell r="BF687">
            <v>18.95</v>
          </cell>
          <cell r="BG687">
            <v>0</v>
          </cell>
        </row>
        <row r="688">
          <cell r="B688">
            <v>3806423</v>
          </cell>
          <cell r="D688" t="str">
            <v>Lançamento de viga pré-moldada de 1.000 a 1.250 kN com utilização de guindaste</v>
          </cell>
          <cell r="E688" t="str">
            <v xml:space="preserve">UN </v>
          </cell>
          <cell r="F688">
            <v>6004.2050602409636</v>
          </cell>
          <cell r="G688">
            <v>6004.2050602409636</v>
          </cell>
          <cell r="H688">
            <v>6004.2050602409636</v>
          </cell>
          <cell r="I688">
            <v>0</v>
          </cell>
          <cell r="J688">
            <v>6017.6708433734939</v>
          </cell>
          <cell r="K688">
            <v>6017.6708433734939</v>
          </cell>
          <cell r="L688">
            <v>6017.6708433734939</v>
          </cell>
          <cell r="W688">
            <v>5795</v>
          </cell>
          <cell r="X688" t="str">
            <v>MARTELETE OU ROMPEDOR PNEUMÁTICO MANUAL, 28 KG, COM SILENCIADOR - CHP DIURNO. AF_07/2016</v>
          </cell>
          <cell r="Y688" t="str">
            <v>h</v>
          </cell>
          <cell r="Z688">
            <v>27.82</v>
          </cell>
          <cell r="AA688">
            <v>0</v>
          </cell>
          <cell r="BC688">
            <v>3798</v>
          </cell>
          <cell r="BD688" t="str">
            <v>LUMINARIA ABERTA P/ ILUMINACAO PUBLICA, TIPO X-57 PETERCO OU EQUIV</v>
          </cell>
          <cell r="BE688" t="str">
            <v>und</v>
          </cell>
          <cell r="BF688">
            <v>40.619999999999997</v>
          </cell>
          <cell r="BG688">
            <v>0</v>
          </cell>
        </row>
        <row r="689">
          <cell r="B689">
            <v>1109669</v>
          </cell>
          <cell r="D689" t="str">
            <v>Argamassa de cimento e areia 1:3 - areia comercial m³</v>
          </cell>
          <cell r="E689" t="str">
            <v>m³</v>
          </cell>
          <cell r="F689">
            <v>323.18069693269058</v>
          </cell>
          <cell r="G689">
            <v>323.18069693269058</v>
          </cell>
          <cell r="H689">
            <v>323.18069693269058</v>
          </cell>
          <cell r="I689">
            <v>0</v>
          </cell>
          <cell r="J689">
            <v>333.70080145288955</v>
          </cell>
          <cell r="K689">
            <v>333.70080145288955</v>
          </cell>
          <cell r="L689">
            <v>333.70080145288955</v>
          </cell>
          <cell r="W689">
            <v>5952</v>
          </cell>
          <cell r="X689" t="str">
            <v>MARTELETE OU ROMPEDOR PNEUMÁTICO MANUAL, 28 KG, COM SILENCIADOR - CHI DIURNO. AF_07/2016</v>
          </cell>
          <cell r="Y689" t="str">
            <v>h</v>
          </cell>
          <cell r="Z689">
            <v>26.41</v>
          </cell>
          <cell r="AA689">
            <v>0</v>
          </cell>
          <cell r="BC689">
            <v>1020</v>
          </cell>
          <cell r="BD689" t="str">
            <v>CABO DE COBRE, FLEXIVEL, CLASSE 4 OU 5, ISOLACAO EM PVC/A, ANTICHAMA BWF-B, COBERTURA PVC-ST1, ANTICHAMA BWF-B, 1 CONDUTOR, 0,6/1 KV, SECAO NOMINAL 10 MM2</v>
          </cell>
          <cell r="BE689" t="str">
            <v>m</v>
          </cell>
          <cell r="BF689">
            <v>5.15</v>
          </cell>
          <cell r="BG689">
            <v>0</v>
          </cell>
        </row>
        <row r="690">
          <cell r="B690">
            <v>2306072</v>
          </cell>
          <cell r="D690" t="str">
            <v>Estaca escavada circular com uso de lama bentonitica - confecção</v>
          </cell>
          <cell r="E690" t="str">
            <v>M</v>
          </cell>
          <cell r="F690">
            <v>565.23396678599988</v>
          </cell>
          <cell r="G690">
            <v>565.23396678599988</v>
          </cell>
          <cell r="H690">
            <v>565.23396678599988</v>
          </cell>
          <cell r="I690">
            <v>0</v>
          </cell>
          <cell r="J690">
            <v>571.65456658599987</v>
          </cell>
          <cell r="K690">
            <v>571.65456658599987</v>
          </cell>
          <cell r="L690">
            <v>571.65456658599987</v>
          </cell>
          <cell r="W690">
            <v>1380</v>
          </cell>
          <cell r="X690" t="str">
            <v>CIMENTO BRANCO</v>
          </cell>
          <cell r="Y690" t="str">
            <v>kg</v>
          </cell>
          <cell r="Z690">
            <v>2.4500000000000002</v>
          </cell>
          <cell r="AA690">
            <v>0</v>
          </cell>
          <cell r="BC690">
            <v>3777</v>
          </cell>
          <cell r="BD690" t="str">
            <v>LONA PLASTICA PRETA, E= 150 MICRA</v>
          </cell>
          <cell r="BE690" t="str">
            <v>M2</v>
          </cell>
          <cell r="BF690">
            <v>0.79</v>
          </cell>
          <cell r="BG690">
            <v>0</v>
          </cell>
        </row>
        <row r="691">
          <cell r="B691">
            <v>1600408</v>
          </cell>
          <cell r="D691" t="str">
            <v>Apicoamento manual de concreto</v>
          </cell>
          <cell r="E691" t="str">
            <v>M2</v>
          </cell>
          <cell r="F691">
            <v>14.697766428571429</v>
          </cell>
          <cell r="G691">
            <v>14.697766428571429</v>
          </cell>
          <cell r="H691">
            <v>14.697766428571429</v>
          </cell>
          <cell r="I691">
            <v>0</v>
          </cell>
          <cell r="J691">
            <v>15.135787857142859</v>
          </cell>
          <cell r="K691">
            <v>15.135787857142859</v>
          </cell>
          <cell r="L691">
            <v>15.135787857142859</v>
          </cell>
          <cell r="W691">
            <v>3768</v>
          </cell>
          <cell r="X691" t="str">
            <v>LIXA EM FOLHA PARA FERRO, NUMERO 150</v>
          </cell>
          <cell r="Y691" t="str">
            <v>und</v>
          </cell>
          <cell r="Z691">
            <v>2.86</v>
          </cell>
          <cell r="AA691">
            <v>0</v>
          </cell>
          <cell r="BC691">
            <v>7156</v>
          </cell>
          <cell r="BD691" t="str">
            <v>TELA DE ACO SOLDADA NERVURADA, CA-60, Q-196, (3,11 KG/M2), DIAMETRO DO FIO = 5,0 MM, LARGURA =  2,45 M, ESPACAMENTO DA MALHA = 10 X 10 CM</v>
          </cell>
          <cell r="BE691" t="str">
            <v>M2</v>
          </cell>
          <cell r="BF691">
            <v>16.64</v>
          </cell>
          <cell r="BG691">
            <v>0</v>
          </cell>
        </row>
        <row r="692">
          <cell r="B692">
            <v>4915645</v>
          </cell>
          <cell r="D692" t="str">
            <v>Injeção de fissuras em estruturas de concreto com adesivo estrutural de base epóxi de baixa viscosidade - fornecimento e aplicação</v>
          </cell>
          <cell r="E692" t="str">
            <v>kg</v>
          </cell>
          <cell r="F692">
            <v>305.63218490000003</v>
          </cell>
          <cell r="G692">
            <v>305.63218490000003</v>
          </cell>
          <cell r="H692">
            <v>305.63218490000003</v>
          </cell>
          <cell r="I692">
            <v>0</v>
          </cell>
          <cell r="J692">
            <v>305.78109380000001</v>
          </cell>
          <cell r="K692">
            <v>305.78109380000001</v>
          </cell>
          <cell r="L692">
            <v>305.78109380000001</v>
          </cell>
          <cell r="W692">
            <v>11849</v>
          </cell>
          <cell r="X692" t="str">
            <v>COLA BRANCA BASE PVA</v>
          </cell>
          <cell r="Y692" t="str">
            <v>l</v>
          </cell>
          <cell r="Z692">
            <v>16.12</v>
          </cell>
          <cell r="AA692">
            <v>0</v>
          </cell>
          <cell r="BC692">
            <v>34492</v>
          </cell>
          <cell r="BD692" t="str">
            <v>CONCRETO USINADO BOMBEAVEL, CLASSE DE RESISTENCIA C20, COM BRITA 0 E 1, SLUMP = 100 +/- 20 MM, EXCLUI SERVICO DE BOMBEAMENTO (NBR 8953)</v>
          </cell>
          <cell r="BE692" t="str">
            <v>M3</v>
          </cell>
          <cell r="BF692">
            <v>224.23</v>
          </cell>
          <cell r="BG692">
            <v>0</v>
          </cell>
        </row>
        <row r="693">
          <cell r="B693">
            <v>3713606</v>
          </cell>
          <cell r="D693" t="str">
            <v>Defensa semi-maleável dupla - fornecimento e implantação</v>
          </cell>
          <cell r="E693" t="str">
            <v>M</v>
          </cell>
          <cell r="F693">
            <v>367.96034229458888</v>
          </cell>
          <cell r="G693">
            <v>367.96034229458888</v>
          </cell>
          <cell r="H693">
            <v>367.96034229458888</v>
          </cell>
          <cell r="I693">
            <v>0</v>
          </cell>
          <cell r="J693">
            <v>368.59195280281097</v>
          </cell>
          <cell r="K693">
            <v>368.59195280281097</v>
          </cell>
          <cell r="L693">
            <v>368.59195280281097</v>
          </cell>
          <cell r="W693">
            <v>26019</v>
          </cell>
          <cell r="X693" t="str">
            <v>DISCO DE DESBASTE PARA METAL FERROSO EM GERAL, COM TRES TELAS,  9 X 1/4 X 7/8 " (228,6 X 6,4 X 22,2 MM)</v>
          </cell>
          <cell r="Y693" t="str">
            <v>und</v>
          </cell>
          <cell r="Z693">
            <v>29.76</v>
          </cell>
          <cell r="AA693">
            <v>0</v>
          </cell>
          <cell r="BC693">
            <v>88246</v>
          </cell>
          <cell r="BD693" t="str">
            <v>ASSENTADOR DE TUBOS COM ENCARGOS COMPLEMENTARES</v>
          </cell>
          <cell r="BE693" t="str">
            <v>H</v>
          </cell>
          <cell r="BF693">
            <v>25.71</v>
          </cell>
          <cell r="BG693">
            <v>0</v>
          </cell>
        </row>
        <row r="694">
          <cell r="B694">
            <v>5213368</v>
          </cell>
          <cell r="C694" t="str">
            <v>SICRO</v>
          </cell>
          <cell r="D694" t="str">
            <v>Balizador de concreto - areia e brita comerciais - fornecimento e implantação</v>
          </cell>
          <cell r="E694" t="str">
            <v>UN</v>
          </cell>
          <cell r="F694">
            <v>18.892331699999996</v>
          </cell>
          <cell r="G694">
            <v>18.892331699999996</v>
          </cell>
          <cell r="H694">
            <v>18.892331699999996</v>
          </cell>
          <cell r="I694">
            <v>0</v>
          </cell>
          <cell r="J694">
            <v>19.340494400000001</v>
          </cell>
          <cell r="K694">
            <v>19.340494400000001</v>
          </cell>
          <cell r="L694">
            <v>19.340494400000001</v>
          </cell>
          <cell r="W694">
            <v>379</v>
          </cell>
          <cell r="X694" t="str">
            <v>ARRUELA QUADRADA EM ACO GALVANIZADO, DIMENSAO = 38 MM, ESPESSURA = 3MM, DIAMETRO DO FURO= 18 MM</v>
          </cell>
          <cell r="Y694" t="str">
            <v>und</v>
          </cell>
          <cell r="Z694">
            <v>0.73</v>
          </cell>
          <cell r="AA694">
            <v>0</v>
          </cell>
          <cell r="BC694">
            <v>20078</v>
          </cell>
          <cell r="BD694" t="str">
            <v>PASTA LUBRIFICANTE PARA TUBOS E CONEXOES COM JUNTA ELASTICA (USO EM PVC, ACO, POLIETILENO E OUTROS) ( DE *400* G)</v>
          </cell>
          <cell r="BE694" t="str">
            <v>UN</v>
          </cell>
          <cell r="BF694">
            <v>16.93</v>
          </cell>
          <cell r="BG694">
            <v>0</v>
          </cell>
        </row>
        <row r="695">
          <cell r="B695">
            <v>4016007</v>
          </cell>
          <cell r="D695" t="str">
            <v>Escavação e carga de material de jazida com trator de 74,5 kW e carregadeira de 1,53 m³</v>
          </cell>
          <cell r="E695" t="str">
            <v>M3</v>
          </cell>
          <cell r="F695">
            <v>3.0011720714998638</v>
          </cell>
          <cell r="G695">
            <v>3.0011720714998638</v>
          </cell>
          <cell r="H695">
            <v>3.0011720714998638</v>
          </cell>
          <cell r="I695">
            <v>0</v>
          </cell>
          <cell r="J695">
            <v>3.0367391434534077</v>
          </cell>
          <cell r="K695">
            <v>3.0367391434534077</v>
          </cell>
          <cell r="L695">
            <v>3.0367391434534077</v>
          </cell>
          <cell r="W695">
            <v>420</v>
          </cell>
          <cell r="X695" t="str">
            <v>CINTA CIRCULAR EM ACO GALVANIZADO DE 150 MM DE DIAMETRO PARA FIXACAO DE CAIXA MEDICAO, INCLUI PARAFUSOS E PORCAS</v>
          </cell>
          <cell r="Y695" t="str">
            <v>und</v>
          </cell>
          <cell r="Z695">
            <v>20.309999999999999</v>
          </cell>
          <cell r="AA695">
            <v>0</v>
          </cell>
          <cell r="BC695">
            <v>36365</v>
          </cell>
          <cell r="BD695" t="str">
            <v>TUBO COLETOR DE ESGOTO PVC, JEI, DN 100 MM (NBR  7362)</v>
          </cell>
          <cell r="BE695" t="str">
            <v>M</v>
          </cell>
          <cell r="BF695">
            <v>18.510000000000002</v>
          </cell>
          <cell r="BG695">
            <v>0</v>
          </cell>
        </row>
        <row r="696">
          <cell r="B696">
            <v>2003614</v>
          </cell>
          <cell r="D696" t="str">
            <v>Dreno sub-horizontal - DSH 01 - material de 1ª categoria</v>
          </cell>
          <cell r="E696" t="str">
            <v>M</v>
          </cell>
          <cell r="F696">
            <v>97.330678803999987</v>
          </cell>
          <cell r="G696">
            <v>97.330678803999987</v>
          </cell>
          <cell r="H696">
            <v>97.330678803999987</v>
          </cell>
          <cell r="I696">
            <v>0</v>
          </cell>
          <cell r="J696">
            <v>99.459885716000002</v>
          </cell>
          <cell r="K696">
            <v>99.459885716000002</v>
          </cell>
          <cell r="L696">
            <v>99.459885716000002</v>
          </cell>
          <cell r="W696">
            <v>985</v>
          </cell>
          <cell r="X696" t="str">
            <v>CABO DE COBRE, RIGIDO, CLASSE 2, ISOLACAO EM PVC/A, ANTICHAMA BWF-B, 1 CONDUTOR, 450/750 V, SECAO NOMINAL 10 MM2</v>
          </cell>
          <cell r="Y696" t="str">
            <v>m</v>
          </cell>
          <cell r="Z696">
            <v>6.22</v>
          </cell>
          <cell r="AA696">
            <v>0</v>
          </cell>
          <cell r="BC696">
            <v>9834</v>
          </cell>
          <cell r="BD696" t="str">
            <v>TUBO PVC, RIGIDO, CORRUGADO, PERFURADO, DN 150 MM, PARA DRENAGEM, SISTEMA IRRIGACAO</v>
          </cell>
          <cell r="BE696" t="str">
            <v>M</v>
          </cell>
          <cell r="BF696">
            <v>29.59</v>
          </cell>
          <cell r="BG696">
            <v>0</v>
          </cell>
        </row>
        <row r="697">
          <cell r="B697">
            <v>3816196</v>
          </cell>
          <cell r="D697" t="str">
            <v>Injeção de nata de cimento</v>
          </cell>
          <cell r="E697" t="str">
            <v>l</v>
          </cell>
          <cell r="F697">
            <v>1.2060140199999998</v>
          </cell>
          <cell r="G697">
            <v>1.2060140199999998</v>
          </cell>
          <cell r="H697">
            <v>1.2060140199999998</v>
          </cell>
          <cell r="I697">
            <v>0</v>
          </cell>
          <cell r="J697">
            <v>1.24377173</v>
          </cell>
          <cell r="K697">
            <v>1.24377173</v>
          </cell>
          <cell r="L697">
            <v>1.24377173</v>
          </cell>
          <cell r="W697">
            <v>1091</v>
          </cell>
          <cell r="X697" t="str">
            <v>ARMACAO VERTICAL COM HASTE E CONTRA-PINO, EM CHAPA DE ACO GALVANIZADO 3/16", COM 1 ESTRIBO E 1 ISOLADOR</v>
          </cell>
          <cell r="Y697" t="str">
            <v>und</v>
          </cell>
          <cell r="Z697">
            <v>14.81</v>
          </cell>
          <cell r="AA697">
            <v>0</v>
          </cell>
          <cell r="BC697">
            <v>84003</v>
          </cell>
          <cell r="BD697" t="str">
            <v>ÁGUA POTÁVEL - FORNECIMENTO EM CAMINHÃO TANQUE CAM. 10.000 L -EMPR. QUE FORN. NO MUNICÍPIO (P/CONSTRUTORA)</v>
          </cell>
          <cell r="BE697" t="str">
            <v>M3</v>
          </cell>
          <cell r="BF697">
            <v>26.07</v>
          </cell>
          <cell r="BG697">
            <v>0</v>
          </cell>
        </row>
        <row r="698">
          <cell r="B698">
            <v>90441</v>
          </cell>
          <cell r="D698" t="str">
            <v>FURO EM CONCRETO PARA DIÂMETROS MAIORES QUE 75 MM. AF_05/2015</v>
          </cell>
          <cell r="E698" t="str">
            <v>UN</v>
          </cell>
          <cell r="F698">
            <v>125.94356999999999</v>
          </cell>
          <cell r="G698">
            <v>125.94356999999999</v>
          </cell>
          <cell r="H698">
            <v>125.94356999999999</v>
          </cell>
          <cell r="I698">
            <v>0</v>
          </cell>
          <cell r="J698">
            <v>135.34409999999997</v>
          </cell>
          <cell r="K698">
            <v>135.34409999999997</v>
          </cell>
          <cell r="L698">
            <v>135.34409999999997</v>
          </cell>
          <cell r="W698">
            <v>2386</v>
          </cell>
          <cell r="X698" t="str">
            <v>DISJUNTOR TIPO NEMA, MONOPOLAR 35  ATE  50 A, TENSAO MAXIMA DE 240 V</v>
          </cell>
          <cell r="Y698" t="str">
            <v>und</v>
          </cell>
          <cell r="Z698">
            <v>18.52</v>
          </cell>
          <cell r="AA698">
            <v>0</v>
          </cell>
          <cell r="BC698">
            <v>94283</v>
          </cell>
          <cell r="BD698" t="str">
            <v>SERRA CIRCULAR PARA CORTE DE CONCRETO ( S/ DISCO ) PROF. 13CM</v>
          </cell>
          <cell r="BE698" t="str">
            <v>H</v>
          </cell>
          <cell r="BF698">
            <v>3.72</v>
          </cell>
          <cell r="BG698">
            <v>0</v>
          </cell>
        </row>
        <row r="699">
          <cell r="B699">
            <v>1207719</v>
          </cell>
          <cell r="D699" t="str">
            <v>Concreto projetado fck = 30 MPa via seca aplicado em superfícies inclinadas de 60° a 90°</v>
          </cell>
          <cell r="E699" t="str">
            <v>M3</v>
          </cell>
          <cell r="F699">
            <v>656.71982698412705</v>
          </cell>
          <cell r="G699">
            <v>656.71982698412705</v>
          </cell>
          <cell r="H699">
            <v>656.71982698412705</v>
          </cell>
          <cell r="I699">
            <v>0</v>
          </cell>
          <cell r="J699">
            <v>668.37911904761904</v>
          </cell>
          <cell r="K699">
            <v>668.37911904761904</v>
          </cell>
          <cell r="L699">
            <v>668.37911904761904</v>
          </cell>
          <cell r="W699">
            <v>2673</v>
          </cell>
          <cell r="X699" t="str">
            <v>ELETRODUTO DE PVC RIGIDO ROSCAVEL DE 1/2 ", SEM LUVA</v>
          </cell>
          <cell r="Y699" t="str">
            <v>m</v>
          </cell>
          <cell r="Z699">
            <v>2.5299999999999998</v>
          </cell>
          <cell r="AA699">
            <v>0</v>
          </cell>
          <cell r="BC699">
            <v>95100</v>
          </cell>
          <cell r="BD699" t="str">
            <v>SERRA DIAMANTADA P/ CONCRETO/PISO - 450MM - C/ FURO DE 25MM (P/ SER UTILIZADA EM SERRA CIRCULAR C/ 13 CM PROFUNDIDADE)</v>
          </cell>
          <cell r="BE699" t="str">
            <v>Un</v>
          </cell>
          <cell r="BF699">
            <v>659.62</v>
          </cell>
          <cell r="BG699">
            <v>0</v>
          </cell>
        </row>
        <row r="700">
          <cell r="B700">
            <v>6106190</v>
          </cell>
          <cell r="D700" t="str">
            <v>Base alargada de tubulão a ar comprimido - escavação em material de 1ª categoria na profundidade de 20 a 30 m - inclusive concretagem</v>
          </cell>
          <cell r="E700" t="str">
            <v>m³</v>
          </cell>
          <cell r="F700">
            <v>5290.7333035473112</v>
          </cell>
          <cell r="G700">
            <v>5290.7333035473112</v>
          </cell>
          <cell r="H700">
            <v>5290.7333035473112</v>
          </cell>
          <cell r="I700">
            <v>0</v>
          </cell>
          <cell r="J700">
            <v>5548.182543197142</v>
          </cell>
          <cell r="K700">
            <v>5548.182543197142</v>
          </cell>
          <cell r="L700">
            <v>5548.182543197142</v>
          </cell>
          <cell r="W700">
            <v>2685</v>
          </cell>
          <cell r="X700" t="str">
            <v>ELETRODUTO DE PVC RIGIDO ROSCAVEL DE 1 ", SEM LUVA</v>
          </cell>
          <cell r="Y700" t="str">
            <v>m</v>
          </cell>
          <cell r="Z700">
            <v>4.92</v>
          </cell>
          <cell r="AA700">
            <v>0</v>
          </cell>
          <cell r="BC700">
            <v>10627</v>
          </cell>
          <cell r="BD700" t="str">
            <v>CONCRETO "GROUT" C/ PEDRISCO</v>
          </cell>
          <cell r="BE700" t="str">
            <v>dm³</v>
          </cell>
          <cell r="BF700">
            <v>215100</v>
          </cell>
          <cell r="BG700">
            <v>0</v>
          </cell>
        </row>
        <row r="701">
          <cell r="B701">
            <v>4507754</v>
          </cell>
          <cell r="D701" t="str">
            <v>Ancoragem ativa para 10 cordoalhas D = 12,7 mm com placa de ancoragem, bloco, cunhas tripartidas, trombeta e protensão</v>
          </cell>
          <cell r="E701" t="str">
            <v>UN</v>
          </cell>
          <cell r="F701">
            <v>1237.6680589638554</v>
          </cell>
          <cell r="G701">
            <v>1237.6680589638554</v>
          </cell>
          <cell r="H701">
            <v>1237.6680589638554</v>
          </cell>
          <cell r="I701">
            <v>0</v>
          </cell>
          <cell r="J701">
            <v>1242.4926474578313</v>
          </cell>
          <cell r="K701">
            <v>1242.4926474578313</v>
          </cell>
          <cell r="L701">
            <v>1242.4926474578313</v>
          </cell>
          <cell r="W701">
            <v>3380</v>
          </cell>
          <cell r="X701" t="str">
            <v>HASTE DE ATERRAMENTO EM ACO COM 3,00 M DE COMPRIMENTO E DN = 5/8", REVESTIDA COM BAIXA CAMADA DE COBRE, COM CONECTOR TIPO GRAMPO</v>
          </cell>
          <cell r="Y701" t="str">
            <v>und</v>
          </cell>
          <cell r="Z701">
            <v>50.55</v>
          </cell>
          <cell r="AA701">
            <v>0</v>
          </cell>
          <cell r="BC701">
            <v>34481</v>
          </cell>
          <cell r="BD701" t="str">
            <v>CONCRETO USINADO BOMBEAVEL, CLASSE DE RESISTENCIA C45, COM BRITA 0 E 1, SLUMP =100 +/- 20 MM, INCLUI SERVICO DE BOMBEAMENTO (NBR 8953)</v>
          </cell>
          <cell r="BE701" t="str">
            <v>M3</v>
          </cell>
          <cell r="BF701">
            <v>339.56</v>
          </cell>
          <cell r="BG701">
            <v>0</v>
          </cell>
        </row>
        <row r="702">
          <cell r="B702">
            <v>4507791</v>
          </cell>
          <cell r="D702" t="str">
            <v>Ancoragem passiva aderente para 19 cordoalhas D = 15,2 mm - fornecimento e instalação</v>
          </cell>
          <cell r="E702" t="str">
            <v>UN</v>
          </cell>
          <cell r="F702">
            <v>439.91562137900007</v>
          </cell>
          <cell r="G702">
            <v>439.91562137900007</v>
          </cell>
          <cell r="H702">
            <v>439.91562137900007</v>
          </cell>
          <cell r="I702">
            <v>0</v>
          </cell>
          <cell r="J702">
            <v>445.57696710466666</v>
          </cell>
          <cell r="K702">
            <v>445.57696710466666</v>
          </cell>
          <cell r="L702">
            <v>445.57696710466666</v>
          </cell>
          <cell r="W702">
            <v>3398</v>
          </cell>
          <cell r="X702" t="str">
            <v>ISOLADOR DE PORCELANA, TIPO ROLDANA, DIMENSOES DE *72* X *72* MM, PARA USO EM BAIXA TENSAO</v>
          </cell>
          <cell r="Y702" t="str">
            <v>und</v>
          </cell>
          <cell r="Z702">
            <v>3.87</v>
          </cell>
          <cell r="AA702">
            <v>0</v>
          </cell>
          <cell r="BC702">
            <v>3767</v>
          </cell>
          <cell r="BD702" t="str">
            <v>LIXA EM FOLHA PARA PAREDE OU MADEIRA, NUMERO 120 (COR VERMELHA)</v>
          </cell>
          <cell r="BE702" t="str">
            <v>und</v>
          </cell>
          <cell r="BF702">
            <v>0.6</v>
          </cell>
          <cell r="BG702">
            <v>0</v>
          </cell>
        </row>
        <row r="703">
          <cell r="B703">
            <v>4507785</v>
          </cell>
          <cell r="D703" t="str">
            <v>Ancoragem passiva aderente para 10 cordoalhas D = 12,7 mm - fornecimento e instalação</v>
          </cell>
          <cell r="E703" t="str">
            <v>UN</v>
          </cell>
          <cell r="F703">
            <v>161.09472933864393</v>
          </cell>
          <cell r="G703">
            <v>161.09472933864393</v>
          </cell>
          <cell r="H703">
            <v>161.09472933864393</v>
          </cell>
          <cell r="I703">
            <v>0</v>
          </cell>
          <cell r="J703">
            <v>162.71400701374844</v>
          </cell>
          <cell r="K703">
            <v>162.71400701374844</v>
          </cell>
          <cell r="L703">
            <v>162.71400701374844</v>
          </cell>
          <cell r="W703">
            <v>4336</v>
          </cell>
          <cell r="X703" t="str">
            <v>PARAFUSO ZINCADO, SEXTAVADO, COM ROSCA INTEIRA, DIAMETRO 5/8", COMPRIMENTO 3", COM PORCA E ARRUELA DE PRESSAO MEDIA</v>
          </cell>
          <cell r="Y703" t="str">
            <v>und</v>
          </cell>
          <cell r="Z703">
            <v>3.85</v>
          </cell>
          <cell r="AA703">
            <v>0</v>
          </cell>
          <cell r="BC703">
            <v>11615</v>
          </cell>
          <cell r="BD703" t="str">
            <v>POLIESTIRENO EXPANDIDO/EPS (ISOPOR), TIPO 2F, PLACA, ISOLAMENTO TERMOACUSTICO, E = 10 MM, 1000 X 500 MM</v>
          </cell>
          <cell r="BE703" t="str">
            <v>m²</v>
          </cell>
          <cell r="BF703">
            <v>2.5</v>
          </cell>
          <cell r="BG703">
            <v>0</v>
          </cell>
        </row>
        <row r="704">
          <cell r="B704">
            <v>4011297</v>
          </cell>
          <cell r="D704" t="str">
            <v>Base de solo-cimento com 7% de cimento e mistura na pista com material de jazida</v>
          </cell>
          <cell r="E704" t="str">
            <v>m³</v>
          </cell>
          <cell r="F704">
            <v>69.132286650844563</v>
          </cell>
          <cell r="G704">
            <v>69.132286650844563</v>
          </cell>
          <cell r="H704">
            <v>69.132286650844563</v>
          </cell>
          <cell r="I704">
            <v>0</v>
          </cell>
          <cell r="J704">
            <v>70.040386522649257</v>
          </cell>
          <cell r="K704">
            <v>70.040386522649257</v>
          </cell>
          <cell r="L704">
            <v>70.040386522649257</v>
          </cell>
          <cell r="W704">
            <v>5044</v>
          </cell>
          <cell r="X704" t="str">
            <v>POSTE DE CONCRETO CIRCULAR, 200 KG, H = 9 M (NBR 8451)</v>
          </cell>
          <cell r="Y704" t="str">
            <v>und</v>
          </cell>
          <cell r="Z704">
            <v>530.64</v>
          </cell>
          <cell r="AA704">
            <v>0</v>
          </cell>
          <cell r="BC704">
            <v>11849</v>
          </cell>
          <cell r="BD704" t="str">
            <v>COLA BRANCA BASE PVA</v>
          </cell>
          <cell r="BE704" t="str">
            <v>l</v>
          </cell>
          <cell r="BF704">
            <v>13.82</v>
          </cell>
          <cell r="BG704">
            <v>0</v>
          </cell>
        </row>
        <row r="705">
          <cell r="B705" t="str">
            <v>CPU100</v>
          </cell>
          <cell r="C705" t="str">
            <v>CPU</v>
          </cell>
          <cell r="D705" t="str">
            <v>CONCRETO GROUT ALTA RESISTENCIA</v>
          </cell>
          <cell r="E705" t="str">
            <v>DM3</v>
          </cell>
          <cell r="F705">
            <v>9.3602509200000004</v>
          </cell>
          <cell r="G705">
            <v>9.3602509200000004</v>
          </cell>
          <cell r="H705">
            <v>9.3602509200000004</v>
          </cell>
          <cell r="I705">
            <v>0</v>
          </cell>
          <cell r="J705">
            <v>9.7435394800000008</v>
          </cell>
          <cell r="K705">
            <v>9.7435394800000008</v>
          </cell>
          <cell r="L705">
            <v>9.7435394800000008</v>
          </cell>
          <cell r="W705">
            <v>11856</v>
          </cell>
          <cell r="X705" t="str">
            <v>CONECTOR METALICO TIPO PARAFUSO FENDIDO (SPLIT BOLT), PARA CABOS ATE 10 MM2</v>
          </cell>
          <cell r="Y705" t="str">
            <v>und</v>
          </cell>
          <cell r="Z705">
            <v>3.85</v>
          </cell>
          <cell r="AA705">
            <v>0</v>
          </cell>
          <cell r="BC705">
            <v>3408</v>
          </cell>
          <cell r="BD705" t="str">
            <v>POLIESTIRENO EXPANDIDO/EPS (ISOPOR), TIPO 2F, PLACA, ISOLAMENTO TERMOACUSTICO, E = 10 MM, 1000 X 500 MM</v>
          </cell>
          <cell r="BE705" t="str">
            <v>M2</v>
          </cell>
          <cell r="BF705">
            <v>6.66</v>
          </cell>
          <cell r="BG705">
            <v>0</v>
          </cell>
        </row>
        <row r="706">
          <cell r="B706" t="str">
            <v>CPU24</v>
          </cell>
          <cell r="C706" t="str">
            <v>CPU</v>
          </cell>
          <cell r="D706" t="str">
            <v>FORMA APARENTE TREPANTE</v>
          </cell>
          <cell r="E706" t="str">
            <v>M2</v>
          </cell>
          <cell r="F706">
            <v>106.39230901999997</v>
          </cell>
          <cell r="G706">
            <v>106.39230901999997</v>
          </cell>
          <cell r="H706">
            <v>106.39230901999997</v>
          </cell>
          <cell r="I706">
            <v>0</v>
          </cell>
          <cell r="J706">
            <v>111.05486366400001</v>
          </cell>
          <cell r="K706">
            <v>111.05486366400001</v>
          </cell>
          <cell r="L706">
            <v>111.05486366400001</v>
          </cell>
          <cell r="W706">
            <v>20256</v>
          </cell>
          <cell r="X706" t="str">
            <v>ROLDANA PLASTICA COM PREGO, TAMANHO 30 X 30 MM, PARA INSTALACAO ELETRICA APARENTE</v>
          </cell>
          <cell r="Y706" t="str">
            <v>und</v>
          </cell>
          <cell r="Z706">
            <v>0.26</v>
          </cell>
          <cell r="AA706">
            <v>0</v>
          </cell>
          <cell r="BC706" t="str">
            <v>28.05.09.01</v>
          </cell>
          <cell r="BD706" t="str">
            <v xml:space="preserve">FORN.INSTAL.CONJ. TRANSICAO DE DEF.MET. P/ BARREIRA DE CONCRETOC/LAMINA TRIPLA </v>
          </cell>
          <cell r="BE706" t="str">
            <v>CJ</v>
          </cell>
          <cell r="BF706">
            <v>5007.6000000000004</v>
          </cell>
          <cell r="BG706">
            <v>0</v>
          </cell>
        </row>
        <row r="707">
          <cell r="B707">
            <v>34481</v>
          </cell>
          <cell r="C707" t="str">
            <v>SINAPI</v>
          </cell>
          <cell r="D707" t="str">
            <v>FORNEC., TRANSP., LANÇ. E CURA DE CONCRETO - FCK 45 MPA</v>
          </cell>
          <cell r="E707" t="str">
            <v>M3</v>
          </cell>
          <cell r="F707">
            <v>339.56</v>
          </cell>
          <cell r="G707">
            <v>339.56</v>
          </cell>
          <cell r="H707">
            <v>339.56</v>
          </cell>
          <cell r="I707">
            <v>0</v>
          </cell>
          <cell r="J707">
            <v>380.93</v>
          </cell>
          <cell r="K707">
            <v>380.93</v>
          </cell>
          <cell r="L707">
            <v>380.93</v>
          </cell>
          <cell r="W707">
            <v>39680</v>
          </cell>
          <cell r="X707" t="str">
            <v>CAIXA DE PROTECAO PARA 1 MEDIDOR MONOFASICO, EM CHAPA DE ACO 20 USG (PADRAO DA CONCESSIONARIA LOCAL)</v>
          </cell>
          <cell r="Y707" t="str">
            <v>und</v>
          </cell>
          <cell r="Z707">
            <v>51.9</v>
          </cell>
          <cell r="AA707">
            <v>0</v>
          </cell>
          <cell r="BC707" t="str">
            <v>37.05.36.03</v>
          </cell>
          <cell r="BD707" t="str">
            <v>DISP. DELIMITADOR- BALIZADOR CIL. C/PEL.AI</v>
          </cell>
          <cell r="BE707" t="str">
            <v>UN </v>
          </cell>
          <cell r="BF707">
            <v>291.72649999999999</v>
          </cell>
          <cell r="BG707">
            <v>0</v>
          </cell>
        </row>
        <row r="708">
          <cell r="B708" t="str">
            <v>26.04.04</v>
          </cell>
          <cell r="C708">
            <v>0</v>
          </cell>
          <cell r="D708" t="str">
            <v>CIMBRAMENTO METÁLICO</v>
          </cell>
          <cell r="E708" t="str">
            <v>M3</v>
          </cell>
          <cell r="F708">
            <v>15.106</v>
          </cell>
          <cell r="G708">
            <v>15.106</v>
          </cell>
          <cell r="H708">
            <v>15.106</v>
          </cell>
          <cell r="I708">
            <v>0</v>
          </cell>
          <cell r="J708">
            <v>47.157499999999999</v>
          </cell>
          <cell r="K708">
            <v>47.157499999999999</v>
          </cell>
          <cell r="L708">
            <v>47.157499999999999</v>
          </cell>
          <cell r="W708">
            <v>1525</v>
          </cell>
          <cell r="X708" t="str">
            <v>CONCRETO USINADO BOMBEAVEL, CLASSE DE RESISTENCIA C30, COM BRITA 0 E 1, SLUMP = 100 +/- 20 MM, INCLUI SERVICO DE BOMBEAMENTO (NBR 8953)</v>
          </cell>
          <cell r="Y708" t="str">
            <v>m³</v>
          </cell>
          <cell r="Z708">
            <v>312.38</v>
          </cell>
          <cell r="AA708">
            <v>0</v>
          </cell>
          <cell r="BC708" t="str">
            <v>26.04.04</v>
          </cell>
          <cell r="BD708" t="str">
            <v>ANDAIME TUBULAR</v>
          </cell>
          <cell r="BE708" t="str">
            <v>M3</v>
          </cell>
          <cell r="BF708">
            <v>15.106</v>
          </cell>
          <cell r="BG708">
            <v>0</v>
          </cell>
        </row>
        <row r="709">
          <cell r="B709" t="str">
            <v>75029/001</v>
          </cell>
          <cell r="C709" t="str">
            <v>SINAPI</v>
          </cell>
          <cell r="D709" t="str">
            <v>TUBO PVC CORRUGADO RIGIDO PERFURADO DN 150 PARA DRENAGEM</v>
          </cell>
          <cell r="E709" t="str">
            <v>M</v>
          </cell>
          <cell r="F709">
            <v>50.7928</v>
          </cell>
          <cell r="G709">
            <v>50.7928</v>
          </cell>
          <cell r="H709">
            <v>50.7928</v>
          </cell>
          <cell r="I709">
            <v>0</v>
          </cell>
          <cell r="J709">
            <v>51.700320000000005</v>
          </cell>
          <cell r="K709">
            <v>51.700320000000005</v>
          </cell>
          <cell r="L709">
            <v>51.700320000000005</v>
          </cell>
          <cell r="W709">
            <v>142</v>
          </cell>
          <cell r="X709" t="str">
            <v>SELANTE ELASTICO MONOCOMPONENTE A BASE DE POLIURETANO PARA JUNTAS DIVERSAS</v>
          </cell>
          <cell r="Y709" t="str">
            <v>310ML</v>
          </cell>
          <cell r="Z709">
            <v>33.049999999999997</v>
          </cell>
          <cell r="AA709">
            <v>0</v>
          </cell>
          <cell r="BC709" t="str">
            <v>M1369</v>
          </cell>
          <cell r="BD709" t="str">
            <v>Selador para pintura acrílica</v>
          </cell>
          <cell r="BE709" t="str">
            <v>L</v>
          </cell>
          <cell r="BF709">
            <v>6.7325999999999997</v>
          </cell>
          <cell r="BG709">
            <v>0</v>
          </cell>
        </row>
        <row r="710">
          <cell r="B710" t="str">
            <v>CPU-30</v>
          </cell>
          <cell r="C710" t="str">
            <v>CPU</v>
          </cell>
          <cell r="D710" t="str">
            <v>AVANÇO DE TRELIÇA DE BALANÇO SUCESSIVO POR ADUELA CONSIDERADO NA CPU-28</v>
          </cell>
          <cell r="E710" t="str">
            <v xml:space="preserve">UN </v>
          </cell>
          <cell r="F710">
            <v>5880.732</v>
          </cell>
          <cell r="G710">
            <v>5880.732</v>
          </cell>
          <cell r="H710">
            <v>5880.732</v>
          </cell>
          <cell r="I710">
            <v>0</v>
          </cell>
          <cell r="J710">
            <v>6236.692</v>
          </cell>
          <cell r="K710">
            <v>6236.692</v>
          </cell>
          <cell r="L710">
            <v>6236.692</v>
          </cell>
          <cell r="W710">
            <v>88270</v>
          </cell>
          <cell r="X710" t="str">
            <v>IMPERMEABILIZADOR COM ENCARGOS COMPLEMENTARES</v>
          </cell>
          <cell r="Y710" t="str">
            <v>H</v>
          </cell>
          <cell r="Z710">
            <v>27.68</v>
          </cell>
          <cell r="AA710">
            <v>0</v>
          </cell>
          <cell r="BC710" t="str">
            <v>M0880</v>
          </cell>
          <cell r="BD710" t="str">
            <v>Lixa para madeira e massa</v>
          </cell>
          <cell r="BE710" t="str">
            <v>UN </v>
          </cell>
          <cell r="BF710">
            <v>0.67</v>
          </cell>
          <cell r="BG710">
            <v>0</v>
          </cell>
        </row>
        <row r="711">
          <cell r="B711" t="str">
            <v>CPU-28</v>
          </cell>
          <cell r="C711" t="str">
            <v>CPU</v>
          </cell>
          <cell r="D711" t="str">
            <v>FORNECIMENTO DE CONJUNTO DE TRELIÇA PARA BALANÇO</v>
          </cell>
          <cell r="E711" t="str">
            <v>CJ X MÊS</v>
          </cell>
          <cell r="F711">
            <v>22500</v>
          </cell>
          <cell r="G711">
            <v>22500</v>
          </cell>
          <cell r="H711">
            <v>22500</v>
          </cell>
          <cell r="I711">
            <v>0</v>
          </cell>
          <cell r="J711">
            <v>22500</v>
          </cell>
          <cell r="K711">
            <v>22500</v>
          </cell>
          <cell r="L711">
            <v>22500</v>
          </cell>
          <cell r="W711">
            <v>857</v>
          </cell>
          <cell r="X711" t="str">
            <v>CABO DE COBRE NU 16 MM2 MEIO-DURO</v>
          </cell>
          <cell r="Y711" t="str">
            <v>M</v>
          </cell>
          <cell r="Z711">
            <v>9.5299999999999994</v>
          </cell>
          <cell r="AA711">
            <v>0</v>
          </cell>
          <cell r="BC711">
            <v>37545</v>
          </cell>
          <cell r="BD711" t="str">
            <v>MASSA BASE ÓLEO PARA MADEIRA</v>
          </cell>
          <cell r="BE711" t="str">
            <v>L</v>
          </cell>
          <cell r="BF711">
            <v>18.309999999999999</v>
          </cell>
          <cell r="BG711">
            <v>0</v>
          </cell>
        </row>
        <row r="712">
          <cell r="B712" t="str">
            <v>CPU-29</v>
          </cell>
          <cell r="C712" t="str">
            <v>CPU</v>
          </cell>
          <cell r="D712" t="str">
            <v>MONTAGEM E DESMONTAGEM DE EQUIPAMENTO PARA BALANÇO</v>
          </cell>
          <cell r="E712" t="str">
            <v xml:space="preserve">UN </v>
          </cell>
          <cell r="F712">
            <v>39011.853999999992</v>
          </cell>
          <cell r="G712">
            <v>39011.853999999992</v>
          </cell>
          <cell r="H712">
            <v>39011.853999999992</v>
          </cell>
          <cell r="I712">
            <v>0</v>
          </cell>
          <cell r="J712">
            <v>40515.804000000004</v>
          </cell>
          <cell r="K712">
            <v>40515.804000000004</v>
          </cell>
          <cell r="L712">
            <v>40515.804000000004</v>
          </cell>
          <cell r="W712" t="str">
            <v>E9590</v>
          </cell>
          <cell r="X712" t="str">
            <v>Central de concreto com capacidade de 40 m³/h - dosadora fixa</v>
          </cell>
          <cell r="Y712" t="str">
            <v>H</v>
          </cell>
          <cell r="Z712">
            <v>69.152699999999996</v>
          </cell>
          <cell r="AA712">
            <v>57.229599999999998</v>
          </cell>
          <cell r="BC712" t="str">
            <v>M2046</v>
          </cell>
          <cell r="BD712" t="str">
            <v>TCI tricone bits de 121 mm</v>
          </cell>
          <cell r="BE712" t="str">
            <v>UN </v>
          </cell>
          <cell r="BF712">
            <v>1508.269</v>
          </cell>
          <cell r="BG712">
            <v>0</v>
          </cell>
        </row>
        <row r="713">
          <cell r="B713">
            <v>10807</v>
          </cell>
          <cell r="C713" t="str">
            <v>CPU</v>
          </cell>
          <cell r="D713" t="str">
            <v>GUINDASTE 30 T</v>
          </cell>
          <cell r="E713" t="str">
            <v>UN X MÊS</v>
          </cell>
          <cell r="F713">
            <v>32000</v>
          </cell>
          <cell r="G713">
            <v>32000</v>
          </cell>
          <cell r="H713">
            <v>32000</v>
          </cell>
          <cell r="I713">
            <v>0</v>
          </cell>
          <cell r="J713">
            <v>32000</v>
          </cell>
          <cell r="K713">
            <v>32000</v>
          </cell>
          <cell r="L713">
            <v>32000</v>
          </cell>
          <cell r="W713" t="str">
            <v>M1954</v>
          </cell>
          <cell r="X713" t="str">
            <v>Cimento Portland CP II - 32 a granel</v>
          </cell>
          <cell r="Y713" t="str">
            <v>kg</v>
          </cell>
          <cell r="Z713">
            <v>0.29599999999999999</v>
          </cell>
          <cell r="AA713">
            <v>0</v>
          </cell>
          <cell r="BC713" t="str">
            <v>M2465</v>
          </cell>
          <cell r="BD713" t="str">
            <v>Bainha metálica - D = 40 mm</v>
          </cell>
          <cell r="BE713" t="str">
            <v>m</v>
          </cell>
          <cell r="BF713">
            <v>15.5364</v>
          </cell>
          <cell r="BG713">
            <v>0</v>
          </cell>
        </row>
        <row r="714">
          <cell r="B714" t="str">
            <v>MERCADO-12</v>
          </cell>
          <cell r="D714" t="str">
            <v>ESCADA METÁLICA PROVISÓRIA PARA ACESSO</v>
          </cell>
          <cell r="E714" t="str">
            <v>unid</v>
          </cell>
          <cell r="F714">
            <v>150.35</v>
          </cell>
          <cell r="G714">
            <v>150.35</v>
          </cell>
          <cell r="H714">
            <v>150.35</v>
          </cell>
          <cell r="I714">
            <v>0</v>
          </cell>
          <cell r="J714">
            <v>150.35</v>
          </cell>
          <cell r="K714">
            <v>150.35</v>
          </cell>
          <cell r="L714">
            <v>150.35</v>
          </cell>
          <cell r="W714">
            <v>5914363</v>
          </cell>
          <cell r="X714" t="str">
            <v>Carga, manobra e descarga de cimento a granel em silos</v>
          </cell>
          <cell r="Y714" t="str">
            <v>t</v>
          </cell>
          <cell r="Z714">
            <v>8.77</v>
          </cell>
          <cell r="AA714">
            <v>0</v>
          </cell>
          <cell r="BC714" t="str">
            <v>M1935</v>
          </cell>
          <cell r="BD714" t="str">
            <v>Espaçador para tirante de barra de aço - D = 32 mm</v>
          </cell>
          <cell r="BE714" t="str">
            <v>UN </v>
          </cell>
          <cell r="BF714">
            <v>6.1082000000000001</v>
          </cell>
          <cell r="BG714">
            <v>0</v>
          </cell>
        </row>
        <row r="715">
          <cell r="B715" t="str">
            <v>CPU-37</v>
          </cell>
          <cell r="C715" t="str">
            <v>CPU</v>
          </cell>
          <cell r="D715" t="str">
            <v>GUINDASTE 160 T</v>
          </cell>
          <cell r="E715" t="str">
            <v>UN X MÊS</v>
          </cell>
          <cell r="F715">
            <v>96000</v>
          </cell>
          <cell r="G715">
            <v>96000</v>
          </cell>
          <cell r="H715">
            <v>96000</v>
          </cell>
          <cell r="I715">
            <v>0</v>
          </cell>
          <cell r="J715">
            <v>96000</v>
          </cell>
          <cell r="K715">
            <v>96000</v>
          </cell>
          <cell r="L715">
            <v>96000</v>
          </cell>
          <cell r="W715" t="str">
            <v>M0446</v>
          </cell>
          <cell r="X715" t="str">
            <v>Compensado resinado de 10 mm - Caminhão carroceria 15 t</v>
          </cell>
          <cell r="Y715" t="str">
            <v>m²</v>
          </cell>
          <cell r="Z715">
            <v>13.5756</v>
          </cell>
          <cell r="AA715">
            <v>0</v>
          </cell>
          <cell r="BC715" t="str">
            <v>M1982</v>
          </cell>
          <cell r="BD715" t="str">
            <v>Luva de emenda para tirantes - D = 50 x 130 mm</v>
          </cell>
          <cell r="BE715" t="str">
            <v>UN </v>
          </cell>
          <cell r="BF715">
            <v>47.9604</v>
          </cell>
          <cell r="BG715">
            <v>0</v>
          </cell>
        </row>
        <row r="716">
          <cell r="B716" t="str">
            <v>MERCADO-14</v>
          </cell>
          <cell r="D716" t="str">
            <v>INSTALAÇÃO DA RÓTULA TIPO SKU 140/450-14</v>
          </cell>
          <cell r="E716" t="str">
            <v>CJ</v>
          </cell>
          <cell r="F716">
            <v>14700.5</v>
          </cell>
          <cell r="G716">
            <v>14700.5</v>
          </cell>
          <cell r="H716">
            <v>14700.5</v>
          </cell>
          <cell r="I716">
            <v>0</v>
          </cell>
          <cell r="J716">
            <v>14700.5</v>
          </cell>
          <cell r="K716">
            <v>14700.5</v>
          </cell>
          <cell r="L716">
            <v>14700.5</v>
          </cell>
          <cell r="W716" t="str">
            <v>M1955</v>
          </cell>
          <cell r="X716" t="str">
            <v>Cimento asfáltico CAP 50/70 com polímero</v>
          </cell>
          <cell r="Y716" t="str">
            <v>t</v>
          </cell>
          <cell r="Z716">
            <v>0</v>
          </cell>
          <cell r="AA716">
            <v>0</v>
          </cell>
          <cell r="BC716" t="str">
            <v>M3094</v>
          </cell>
          <cell r="BD716" t="str">
            <v>Tirante de aço ST 50/55 de capacidade 210 kN - D = 32 mm</v>
          </cell>
          <cell r="BE716" t="str">
            <v>kg</v>
          </cell>
          <cell r="BF716">
            <v>11.282</v>
          </cell>
          <cell r="BG716">
            <v>0</v>
          </cell>
        </row>
        <row r="717">
          <cell r="B717" t="str">
            <v>24.06.04</v>
          </cell>
          <cell r="D717" t="str">
            <v>FORNECIMENTO E APLICAÇÃO DE TELA ELETROSSOLDADA</v>
          </cell>
          <cell r="E717" t="str">
            <v>KG</v>
          </cell>
          <cell r="F717">
            <v>6.9290000000000003</v>
          </cell>
          <cell r="G717">
            <v>6.9290000000000003</v>
          </cell>
          <cell r="H717">
            <v>6.9290000000000003</v>
          </cell>
          <cell r="I717">
            <v>0</v>
          </cell>
          <cell r="J717">
            <v>6.9290000000000003</v>
          </cell>
          <cell r="K717">
            <v>6.9290000000000003</v>
          </cell>
          <cell r="L717">
            <v>6.9290000000000003</v>
          </cell>
          <cell r="W717">
            <v>5914657</v>
          </cell>
          <cell r="X717" t="str">
            <v>Carga, manobra e descarga de material de 3ª categoria solto em caminhão basculante de 8 m³ - com retroescavadeira</v>
          </cell>
          <cell r="Y717" t="str">
            <v>t</v>
          </cell>
          <cell r="Z717">
            <v>84.75</v>
          </cell>
          <cell r="AA717">
            <v>0</v>
          </cell>
          <cell r="BC717" t="str">
            <v>M1879</v>
          </cell>
          <cell r="BD717" t="str">
            <v>Tubo PE 80 PN6 - D = 40 mm</v>
          </cell>
          <cell r="BE717" t="str">
            <v>m</v>
          </cell>
          <cell r="BF717">
            <v>5.1327999999999996</v>
          </cell>
          <cell r="BG717">
            <v>0</v>
          </cell>
        </row>
        <row r="718">
          <cell r="B718" t="str">
            <v>CPU-33</v>
          </cell>
          <cell r="C718" t="str">
            <v>CPU</v>
          </cell>
          <cell r="D718" t="str">
            <v>FORMA CURVA TREPANTE COMUM PARA PILARES - FORNECIMENTO</v>
          </cell>
          <cell r="E718" t="str">
            <v>M2</v>
          </cell>
          <cell r="F718">
            <v>97.392309019999985</v>
          </cell>
          <cell r="G718">
            <v>97.392309019999985</v>
          </cell>
          <cell r="H718">
            <v>97.392309019999985</v>
          </cell>
          <cell r="I718">
            <v>0</v>
          </cell>
          <cell r="J718">
            <v>102.05486366400001</v>
          </cell>
          <cell r="K718">
            <v>102.05486366400001</v>
          </cell>
          <cell r="L718">
            <v>102.05486366400001</v>
          </cell>
          <cell r="W718">
            <v>5519542</v>
          </cell>
          <cell r="X718" t="str">
            <v>Material de 3ª categoria, rocha ou matacão</v>
          </cell>
          <cell r="Y718" t="str">
            <v>m³</v>
          </cell>
          <cell r="Z718">
            <v>0</v>
          </cell>
          <cell r="AA718">
            <v>0</v>
          </cell>
          <cell r="BC718" t="str">
            <v>M1919</v>
          </cell>
          <cell r="BD718" t="str">
            <v>Tubo PE 80 PN8 - D = 110 mm</v>
          </cell>
          <cell r="BE718" t="str">
            <v>m</v>
          </cell>
          <cell r="BF718">
            <v>37.113500000000002</v>
          </cell>
          <cell r="BG718">
            <v>0</v>
          </cell>
        </row>
        <row r="719">
          <cell r="B719" t="str">
            <v>CPU-34</v>
          </cell>
          <cell r="D719" t="str">
            <v>FORMA TREPANTE PARA PILARES - FORNECIMENTO</v>
          </cell>
          <cell r="E719" t="str">
            <v>M2</v>
          </cell>
          <cell r="F719">
            <v>106.39230901999997</v>
          </cell>
          <cell r="G719">
            <v>106.39230901999997</v>
          </cell>
          <cell r="H719">
            <v>106.39230901999997</v>
          </cell>
          <cell r="I719">
            <v>0</v>
          </cell>
          <cell r="J719">
            <v>111.05486366400001</v>
          </cell>
          <cell r="K719">
            <v>111.05486366400001</v>
          </cell>
          <cell r="L719">
            <v>111.05486366400001</v>
          </cell>
          <cell r="W719" t="str">
            <v>E9095</v>
          </cell>
          <cell r="X719" t="str">
            <v>Guindaste móvel sobre pneus com 8 eixos com capacidade de 15.000 kNm- 500 kW</v>
          </cell>
          <cell r="Y719" t="str">
            <v>h</v>
          </cell>
          <cell r="Z719">
            <v>2434.2121999999999</v>
          </cell>
          <cell r="AA719">
            <v>1180.703</v>
          </cell>
          <cell r="BC719" t="str">
            <v>M3095</v>
          </cell>
          <cell r="BD719" t="str">
            <v>Válvula manchete - D = 20 mm</v>
          </cell>
          <cell r="BE719" t="str">
            <v>UN </v>
          </cell>
          <cell r="BF719">
            <v>1.6858</v>
          </cell>
          <cell r="BG719">
            <v>0</v>
          </cell>
        </row>
        <row r="720">
          <cell r="B720">
            <v>5915366</v>
          </cell>
          <cell r="C720" t="str">
            <v>SICRO</v>
          </cell>
          <cell r="D720" t="str">
            <v>Carga, descarga e manobra de vigas pré-moldadas de até 500 kN em cavalo mecânico com reboque de 6 eixos com capacidade de 207 t</v>
          </cell>
          <cell r="E720" t="str">
            <v>t</v>
          </cell>
          <cell r="F720">
            <v>60.030270348416948</v>
          </cell>
          <cell r="G720">
            <v>60.030270348416948</v>
          </cell>
          <cell r="H720">
            <v>60.030270348416948</v>
          </cell>
          <cell r="I720">
            <v>0</v>
          </cell>
          <cell r="J720">
            <v>60.207692641318488</v>
          </cell>
          <cell r="K720">
            <v>60.207692641318488</v>
          </cell>
          <cell r="L720">
            <v>60.207692641318488</v>
          </cell>
          <cell r="W720" t="str">
            <v>E9707</v>
          </cell>
          <cell r="X720" t="str">
            <v>Desarenador - 15 kW</v>
          </cell>
          <cell r="Y720" t="str">
            <v>h</v>
          </cell>
          <cell r="Z720">
            <v>28.9527</v>
          </cell>
          <cell r="AA720">
            <v>28.418500000000002</v>
          </cell>
          <cell r="BC720" t="str">
            <v>E9716</v>
          </cell>
          <cell r="BD720" t="str">
            <v>Conjunto bomba e macaco hidráulico para protensão com capacidade de 590 kN</v>
          </cell>
          <cell r="BE720" t="str">
            <v>h</v>
          </cell>
          <cell r="BF720">
            <v>41.630499999999998</v>
          </cell>
          <cell r="BG720">
            <v>40.853900000000003</v>
          </cell>
        </row>
        <row r="721">
          <cell r="B721" t="str">
            <v>CPU-32</v>
          </cell>
          <cell r="C721" t="str">
            <v>CPU</v>
          </cell>
          <cell r="D721" t="str">
            <v>MONTAGEM E DESMONTAGEM DA TRELIÇA LANÇADEIRA</v>
          </cell>
          <cell r="E721" t="str">
            <v xml:space="preserve">UN </v>
          </cell>
          <cell r="F721">
            <v>130344.37419999999</v>
          </cell>
          <cell r="G721">
            <v>130344.37419999999</v>
          </cell>
          <cell r="H721">
            <v>130344.37419999999</v>
          </cell>
          <cell r="I721">
            <v>0</v>
          </cell>
          <cell r="J721">
            <v>127339.40239999999</v>
          </cell>
          <cell r="K721">
            <v>127339.40239999999</v>
          </cell>
          <cell r="L721">
            <v>127339.40239999999</v>
          </cell>
          <cell r="W721" t="str">
            <v>E9705</v>
          </cell>
          <cell r="X721" t="str">
            <v>Misturador de lama bentonítica - 4 kW</v>
          </cell>
          <cell r="Y721" t="str">
            <v>h</v>
          </cell>
          <cell r="Z721">
            <v>29.2776</v>
          </cell>
          <cell r="AA721">
            <v>28.646999999999998</v>
          </cell>
          <cell r="BC721" t="str">
            <v>M0440</v>
          </cell>
          <cell r="BD721" t="str">
            <v>Anel de compensação angular de até 45°</v>
          </cell>
          <cell r="BE721" t="str">
            <v>UN </v>
          </cell>
          <cell r="BF721">
            <v>30.5413</v>
          </cell>
          <cell r="BG721">
            <v>0</v>
          </cell>
        </row>
        <row r="722">
          <cell r="B722" t="str">
            <v>CPU-31</v>
          </cell>
          <cell r="C722" t="str">
            <v>CPU</v>
          </cell>
          <cell r="D722" t="str">
            <v>TRELIÇA LANÇADORA DE VIGAS PRÉ-MOLDADAS</v>
          </cell>
          <cell r="E722" t="str">
            <v xml:space="preserve">UN </v>
          </cell>
          <cell r="F722">
            <v>9836.4089999999997</v>
          </cell>
          <cell r="G722">
            <v>9836.4089999999997</v>
          </cell>
          <cell r="H722">
            <v>9836.4089999999997</v>
          </cell>
          <cell r="I722">
            <v>0</v>
          </cell>
          <cell r="J722">
            <v>9837.5555000000004</v>
          </cell>
          <cell r="K722">
            <v>9837.5555000000004</v>
          </cell>
          <cell r="L722">
            <v>9837.5555000000004</v>
          </cell>
          <cell r="W722" t="str">
            <v>E9516</v>
          </cell>
          <cell r="X722" t="str">
            <v>Perfuratriz hidráulica sobre esteiras - 300 kW</v>
          </cell>
          <cell r="Y722" t="str">
            <v>h</v>
          </cell>
          <cell r="Z722">
            <v>773.73469999999998</v>
          </cell>
          <cell r="AA722">
            <v>358.98500000000001</v>
          </cell>
          <cell r="BC722" t="str">
            <v>M1992</v>
          </cell>
          <cell r="BD722" t="str">
            <v>Placa de ancoragem para tirante de 200 x 200 x 25 mm</v>
          </cell>
          <cell r="BE722" t="str">
            <v>UN </v>
          </cell>
          <cell r="BF722">
            <v>99.522599999999997</v>
          </cell>
          <cell r="BG722">
            <v>0</v>
          </cell>
        </row>
        <row r="723">
          <cell r="B723" t="str">
            <v>MERCADO-24</v>
          </cell>
          <cell r="D723" t="str">
            <v>MONTAGEM/DESMONTAGEM DE TORRE GRUA</v>
          </cell>
          <cell r="E723" t="str">
            <v xml:space="preserve">UN </v>
          </cell>
          <cell r="F723">
            <v>28344.51</v>
          </cell>
          <cell r="G723">
            <v>28344.51</v>
          </cell>
          <cell r="H723">
            <v>28344.51</v>
          </cell>
          <cell r="I723">
            <v>0</v>
          </cell>
          <cell r="J723">
            <v>28344.51</v>
          </cell>
          <cell r="K723">
            <v>28344.51</v>
          </cell>
          <cell r="L723">
            <v>28344.51</v>
          </cell>
          <cell r="W723" t="str">
            <v>M0140</v>
          </cell>
          <cell r="X723" t="str">
            <v>Bentonita</v>
          </cell>
          <cell r="Y723" t="str">
            <v>kg</v>
          </cell>
          <cell r="Z723">
            <v>1.0249999999999999</v>
          </cell>
          <cell r="AA723">
            <v>0</v>
          </cell>
          <cell r="BC723" t="str">
            <v>M2015</v>
          </cell>
          <cell r="BD723" t="str">
            <v>Porca sextavada para tirante de 50 x 60 mm</v>
          </cell>
          <cell r="BE723" t="str">
            <v>UN </v>
          </cell>
          <cell r="BF723">
            <v>24.9345</v>
          </cell>
          <cell r="BG723">
            <v>0</v>
          </cell>
        </row>
        <row r="724">
          <cell r="B724" t="str">
            <v>MERCADO-25</v>
          </cell>
          <cell r="D724" t="str">
            <v>TORRE GRUA</v>
          </cell>
          <cell r="E724" t="str">
            <v>UN X MÊS</v>
          </cell>
          <cell r="F724">
            <v>103070</v>
          </cell>
          <cell r="G724">
            <v>103070</v>
          </cell>
          <cell r="H724">
            <v>103070</v>
          </cell>
          <cell r="I724">
            <v>0</v>
          </cell>
          <cell r="J724">
            <v>103070</v>
          </cell>
          <cell r="K724">
            <v>103070</v>
          </cell>
          <cell r="L724">
            <v>103070</v>
          </cell>
          <cell r="W724" t="str">
            <v>M1384</v>
          </cell>
          <cell r="X724" t="str">
            <v>Tubo tremonha de aço</v>
          </cell>
          <cell r="Y724" t="str">
            <v>kg</v>
          </cell>
          <cell r="Z724">
            <v>4.7558999999999996</v>
          </cell>
          <cell r="AA724">
            <v>0</v>
          </cell>
          <cell r="BC724">
            <v>5605941</v>
          </cell>
          <cell r="BD724" t="str">
            <v>Forma em chapa metálica 1/8' para cabeça de tirantes com base de 40 x 40 cm, topo de 20 x 20 cm e altura de 30 cm - utilização de 50 vezes - confecção, instalação e retirada</v>
          </cell>
          <cell r="BE724" t="str">
            <v>UN </v>
          </cell>
          <cell r="BF724">
            <v>5.81</v>
          </cell>
          <cell r="BG724">
            <v>0</v>
          </cell>
        </row>
        <row r="725">
          <cell r="B725" t="str">
            <v>MERCADO-29</v>
          </cell>
          <cell r="D725" t="str">
            <v>ELEVADOR PARA ACESSO DE PESSOAL</v>
          </cell>
          <cell r="E725" t="str">
            <v>unid</v>
          </cell>
          <cell r="F725">
            <v>7959.77</v>
          </cell>
          <cell r="G725">
            <v>7959.77</v>
          </cell>
          <cell r="H725">
            <v>7959.77</v>
          </cell>
          <cell r="I725">
            <v>0</v>
          </cell>
          <cell r="J725">
            <v>7959.77</v>
          </cell>
          <cell r="K725">
            <v>7959.77</v>
          </cell>
          <cell r="L725">
            <v>7959.77</v>
          </cell>
          <cell r="W725" t="str">
            <v>M1392</v>
          </cell>
          <cell r="X725" t="str">
            <v>Bico para injeção de adesivo estrutural à base de resina epóxi</v>
          </cell>
          <cell r="Y725" t="str">
            <v>und</v>
          </cell>
          <cell r="Z725">
            <v>21.09</v>
          </cell>
          <cell r="AA725">
            <v>0</v>
          </cell>
          <cell r="BC725" t="str">
            <v>M3089</v>
          </cell>
          <cell r="BD725" t="str">
            <v>Arame liso galvanizado 18 BWG - Caminhão carroceria 15 t</v>
          </cell>
          <cell r="BE725" t="str">
            <v>m²</v>
          </cell>
          <cell r="BF725">
            <v>10.2136</v>
          </cell>
          <cell r="BG725">
            <v>0</v>
          </cell>
        </row>
        <row r="726">
          <cell r="B726" t="str">
            <v>CPU-35</v>
          </cell>
          <cell r="C726" t="str">
            <v>CPU</v>
          </cell>
          <cell r="D726" t="str">
            <v>FORMA CURVA TREPANTE COMUM PARA PILARES</v>
          </cell>
          <cell r="E726" t="str">
            <v>M2</v>
          </cell>
          <cell r="F726">
            <v>194.89230901999997</v>
          </cell>
          <cell r="G726">
            <v>194.89230901999997</v>
          </cell>
          <cell r="H726">
            <v>194.89230901999997</v>
          </cell>
          <cell r="I726">
            <v>0</v>
          </cell>
          <cell r="J726">
            <v>199.55486366399998</v>
          </cell>
          <cell r="K726">
            <v>199.55486366399998</v>
          </cell>
          <cell r="L726">
            <v>199.55486366399998</v>
          </cell>
          <cell r="W726">
            <v>2407972</v>
          </cell>
          <cell r="X726" t="str">
            <v>Fornecimento e aplicação de adesivo estrutural à base de resina epóxi</v>
          </cell>
          <cell r="Y726" t="str">
            <v>kg</v>
          </cell>
          <cell r="Z726">
            <v>48.16</v>
          </cell>
          <cell r="AA726">
            <v>0</v>
          </cell>
          <cell r="BC726" t="str">
            <v>M3093</v>
          </cell>
          <cell r="BD726" t="str">
            <v>Tela de nylon gramatura 60 fios</v>
          </cell>
          <cell r="BE726" t="str">
            <v>m²</v>
          </cell>
          <cell r="BF726">
            <v>26.25</v>
          </cell>
          <cell r="BG726">
            <v>0</v>
          </cell>
        </row>
        <row r="727">
          <cell r="B727">
            <v>3408</v>
          </cell>
          <cell r="C727" t="str">
            <v>SINAPI</v>
          </cell>
          <cell r="D727" t="str">
            <v>PLACA DE ISOPOR</v>
          </cell>
          <cell r="E727" t="str">
            <v>M2</v>
          </cell>
          <cell r="F727">
            <v>6.66</v>
          </cell>
          <cell r="G727">
            <v>6.66</v>
          </cell>
          <cell r="H727">
            <v>6.66</v>
          </cell>
          <cell r="I727">
            <v>0</v>
          </cell>
          <cell r="J727">
            <v>5.8</v>
          </cell>
          <cell r="K727">
            <v>5.8</v>
          </cell>
          <cell r="L727">
            <v>5.8</v>
          </cell>
          <cell r="W727" t="str">
            <v>M1969</v>
          </cell>
          <cell r="X727" t="str">
            <v>Defensa metálica semi-maleável dupla - Caminhão carroceria 15 t</v>
          </cell>
          <cell r="Y727" t="str">
            <v>und</v>
          </cell>
          <cell r="Z727">
            <v>1424</v>
          </cell>
          <cell r="AA727">
            <v>0</v>
          </cell>
          <cell r="BC727" t="str">
            <v>M1656</v>
          </cell>
          <cell r="BD727" t="str">
            <v>Tubo de PVC esgoto - D = 75 mm</v>
          </cell>
          <cell r="BE727" t="str">
            <v>m</v>
          </cell>
          <cell r="BF727">
            <v>8.5693999999999999</v>
          </cell>
          <cell r="BG727">
            <v>0</v>
          </cell>
        </row>
        <row r="728">
          <cell r="B728">
            <v>307733</v>
          </cell>
          <cell r="C728">
            <v>0</v>
          </cell>
          <cell r="D728" t="str">
            <v>Junta de dilatação em perfil extrudado de borracha vulcanizada de 20 x 40 mm - fornecimento e instalação</v>
          </cell>
          <cell r="E728" t="str">
            <v>M</v>
          </cell>
          <cell r="F728">
            <v>408.87015159999999</v>
          </cell>
          <cell r="G728">
            <v>408.87015159999999</v>
          </cell>
          <cell r="H728">
            <v>408.87015159999999</v>
          </cell>
          <cell r="I728">
            <v>0</v>
          </cell>
          <cell r="J728">
            <v>409.76056</v>
          </cell>
          <cell r="K728">
            <v>409.76056</v>
          </cell>
          <cell r="L728">
            <v>409.76056</v>
          </cell>
          <cell r="W728" t="str">
            <v>M0025</v>
          </cell>
          <cell r="X728" t="str">
            <v>Adesivo plástico para tubos de PVC</v>
          </cell>
          <cell r="Y728" t="str">
            <v>kg</v>
          </cell>
          <cell r="Z728">
            <v>32.4831</v>
          </cell>
          <cell r="AA728">
            <v>0</v>
          </cell>
          <cell r="BC728">
            <v>71202</v>
          </cell>
          <cell r="BD728" t="str">
            <v>ANEL DE BORRACHA PARA TUBO DE FERRO FUNDIDO LINHA SMU ESGOTO PREDIAL - 75MM</v>
          </cell>
          <cell r="BE728" t="str">
            <v>Un</v>
          </cell>
          <cell r="BF728">
            <v>3.54</v>
          </cell>
          <cell r="BG728">
            <v>0</v>
          </cell>
        </row>
        <row r="729">
          <cell r="B729" t="str">
            <v>DR 09.05.0050 (A)</v>
          </cell>
          <cell r="C729">
            <v>0</v>
          </cell>
          <cell r="D729" t="str">
            <v>TUBO DE FERRO FUNDIDO, DUCTIL, CLASSE K-9, PN-10, FLANGE-FLANGE, COM DIAMETRO NOMINAL DE 80MM, COMPREENDENDO: CARGA E DESCARGA, COLOCACAO NA VALA, MONTAGEM E REATERRO ATE A GERATRIZ SUPERIOR DO TUBO E TESTE HIDROESTATICO, EXCLUSIVE ACESSORIOS DA JUNTA. FORNECIMENTO E ASSENTAMENTO.(DESONERADO)</v>
          </cell>
          <cell r="E729" t="str">
            <v>M</v>
          </cell>
          <cell r="F729">
            <v>237.95</v>
          </cell>
          <cell r="G729">
            <v>237.95</v>
          </cell>
          <cell r="H729">
            <v>237.95</v>
          </cell>
          <cell r="I729">
            <v>0</v>
          </cell>
          <cell r="J729">
            <v>237.95</v>
          </cell>
          <cell r="K729">
            <v>237.95</v>
          </cell>
          <cell r="L729">
            <v>237.95</v>
          </cell>
          <cell r="W729" t="str">
            <v>M2079</v>
          </cell>
          <cell r="X729" t="str">
            <v>Fio de nylon Nº 040</v>
          </cell>
          <cell r="Y729" t="str">
            <v>m</v>
          </cell>
          <cell r="Z729">
            <v>7.6100000000000001E-2</v>
          </cell>
          <cell r="AA729">
            <v>0</v>
          </cell>
          <cell r="BC729" t="str">
            <v>COT002</v>
          </cell>
          <cell r="BD729" t="str">
            <v>TELA TIPO SPIDER S4 - 230 SUPERCOATING - RT LONG. 220</v>
          </cell>
          <cell r="BE729" t="str">
            <v>M2</v>
          </cell>
          <cell r="BF729">
            <v>282</v>
          </cell>
          <cell r="BG729">
            <v>0</v>
          </cell>
        </row>
        <row r="730">
          <cell r="B730" t="str">
            <v>CPU101</v>
          </cell>
          <cell r="C730" t="str">
            <v>CPU</v>
          </cell>
          <cell r="D730" t="str">
            <v>CONCRETO (SIKAGROUT OU SIMILAR) INCLUINDO 50% DE PEDRISCO, COMPREENDENDO FORNECIMENTO, PREPARO E LANCAMENTO.(DESONERADO)</v>
          </cell>
          <cell r="E730" t="str">
            <v>M3</v>
          </cell>
          <cell r="F730">
            <v>604.07236341999999</v>
          </cell>
          <cell r="G730">
            <v>604.07236341999999</v>
          </cell>
          <cell r="H730">
            <v>604.07236341999999</v>
          </cell>
          <cell r="I730">
            <v>0</v>
          </cell>
          <cell r="J730">
            <v>624.60290198000007</v>
          </cell>
          <cell r="K730">
            <v>624.60290198000007</v>
          </cell>
          <cell r="L730">
            <v>624.60290198000007</v>
          </cell>
          <cell r="W730" t="str">
            <v>M2137</v>
          </cell>
          <cell r="X730" t="str">
            <v>Tubo de PVC rígido - D = 50 mm</v>
          </cell>
          <cell r="Y730" t="str">
            <v>m</v>
          </cell>
          <cell r="Z730">
            <v>7.2386999999999997</v>
          </cell>
          <cell r="AA730">
            <v>0</v>
          </cell>
          <cell r="BC730">
            <v>71232</v>
          </cell>
          <cell r="BD730" t="str">
            <v>TUBO FERRO FUNDIDO; LINHA SMU -  75MM</v>
          </cell>
          <cell r="BE730" t="str">
            <v>M</v>
          </cell>
          <cell r="BF730">
            <v>106.47</v>
          </cell>
          <cell r="BG730">
            <v>0</v>
          </cell>
        </row>
        <row r="731">
          <cell r="B731" t="str">
            <v>27.02.05</v>
          </cell>
          <cell r="C731" t="str">
            <v>DER</v>
          </cell>
          <cell r="D731" t="str">
            <v>HIDROJATEAMENTO DE SUPERFÍCIE DE CONCRETO</v>
          </cell>
          <cell r="E731" t="str">
            <v>M2</v>
          </cell>
          <cell r="F731">
            <v>4.3159999999999998</v>
          </cell>
          <cell r="G731">
            <v>4.3159999999999998</v>
          </cell>
          <cell r="H731">
            <v>4.3159999999999998</v>
          </cell>
          <cell r="I731">
            <v>0</v>
          </cell>
          <cell r="J731">
            <v>4.3159999999999998</v>
          </cell>
          <cell r="K731">
            <v>4.3159999999999998</v>
          </cell>
          <cell r="L731">
            <v>4.3159999999999998</v>
          </cell>
          <cell r="W731">
            <v>2005759</v>
          </cell>
          <cell r="X731" t="str">
            <v>Perfuração para dreno sub-horizontal em material de 1ª categoria com D = 75 mm (linha NW)</v>
          </cell>
          <cell r="Y731" t="str">
            <v>m</v>
          </cell>
          <cell r="Z731">
            <v>27.31</v>
          </cell>
          <cell r="AA731">
            <v>0</v>
          </cell>
          <cell r="BC731" t="str">
            <v>COT003</v>
          </cell>
          <cell r="BD731" t="str">
            <v>Fôrma, Painel c/ Acessórios (Fenólico Novo), Aparente Trepante</v>
          </cell>
          <cell r="BE731" t="str">
            <v>m²xdia</v>
          </cell>
          <cell r="BF731">
            <v>1.05</v>
          </cell>
          <cell r="BG731">
            <v>0</v>
          </cell>
        </row>
        <row r="732">
          <cell r="B732" t="str">
            <v>ANTT</v>
          </cell>
          <cell r="C732">
            <v>0</v>
          </cell>
          <cell r="D732" t="str">
            <v>INDENIZAÇÃO DE DESCARTE DE MATERIAL (FRESADO)</v>
          </cell>
          <cell r="E732" t="str">
            <v>M3</v>
          </cell>
          <cell r="F732">
            <v>1.04</v>
          </cell>
          <cell r="G732">
            <v>1.04</v>
          </cell>
          <cell r="H732">
            <v>1.04</v>
          </cell>
          <cell r="I732">
            <v>0</v>
          </cell>
          <cell r="J732">
            <v>1.04</v>
          </cell>
          <cell r="K732">
            <v>1.04</v>
          </cell>
          <cell r="L732">
            <v>1.04</v>
          </cell>
          <cell r="W732">
            <v>1207702</v>
          </cell>
          <cell r="X732" t="str">
            <v>Concreto fck = 30 MPa para projeção via seca - confecção em betoneira</v>
          </cell>
          <cell r="Y732" t="str">
            <v>m³</v>
          </cell>
          <cell r="Z732">
            <v>406.15</v>
          </cell>
          <cell r="AA732">
            <v>0</v>
          </cell>
          <cell r="BC732" t="str">
            <v>M3087</v>
          </cell>
          <cell r="BD732" t="str">
            <v>Anel de compensação angular em chapa de aço ASTM A36</v>
          </cell>
          <cell r="BE732" t="str">
            <v>t</v>
          </cell>
          <cell r="BF732">
            <v>42.125999999999998</v>
          </cell>
          <cell r="BG732">
            <v>0</v>
          </cell>
        </row>
        <row r="733">
          <cell r="B733" t="str">
            <v>MERCADO-42</v>
          </cell>
          <cell r="C733">
            <v>0</v>
          </cell>
          <cell r="D733" t="str">
            <v>TERMINAL ABSORVEDOR DE ENERGIA DE NÃO ABERTURA</v>
          </cell>
          <cell r="E733" t="str">
            <v>UN</v>
          </cell>
          <cell r="F733">
            <v>230.48</v>
          </cell>
          <cell r="G733">
            <v>230.48</v>
          </cell>
          <cell r="H733">
            <v>230.48</v>
          </cell>
          <cell r="I733">
            <v>0</v>
          </cell>
          <cell r="J733">
            <v>230.48</v>
          </cell>
          <cell r="K733">
            <v>230.48</v>
          </cell>
          <cell r="L733">
            <v>230.48</v>
          </cell>
          <cell r="W733" t="str">
            <v>E9050</v>
          </cell>
          <cell r="X733" t="str">
            <v>Guindaste sobre rodas com capacidade de 370 kNm - 75 kW</v>
          </cell>
          <cell r="Y733" t="str">
            <v>h</v>
          </cell>
          <cell r="Z733">
            <v>191.19569999999999</v>
          </cell>
          <cell r="AA733">
            <v>92.683999999999997</v>
          </cell>
          <cell r="BC733" t="str">
            <v>M2005</v>
          </cell>
          <cell r="BD733" t="str">
            <v>Placa de ancoragem para tirante de 250 x 250 x 32 mm</v>
          </cell>
          <cell r="BE733" t="str">
            <v>t</v>
          </cell>
          <cell r="BF733">
            <v>179.03550000000001</v>
          </cell>
          <cell r="BG733">
            <v>0</v>
          </cell>
        </row>
        <row r="734">
          <cell r="B734" t="str">
            <v>37.05.36.03</v>
          </cell>
          <cell r="C734">
            <v>0</v>
          </cell>
          <cell r="D734" t="str">
            <v>DISP. DELIMITADOR- BALIZADOR CIL. C/PEL.AI</v>
          </cell>
          <cell r="E734" t="str">
            <v>UN </v>
          </cell>
          <cell r="F734">
            <v>291.72649999999999</v>
          </cell>
          <cell r="G734">
            <v>291.72649999999999</v>
          </cell>
          <cell r="H734">
            <v>291.72649999999999</v>
          </cell>
          <cell r="I734">
            <v>0</v>
          </cell>
          <cell r="J734">
            <v>291.72649999999999</v>
          </cell>
          <cell r="K734">
            <v>291.72649999999999</v>
          </cell>
          <cell r="L734">
            <v>291.72649999999999</v>
          </cell>
          <cell r="W734" t="str">
            <v>M0091</v>
          </cell>
          <cell r="X734" t="str">
            <v>Ancoragem ativa em ferro fundido nodular para 10 cordoalhas - D = 12,7mm - Caminhão carroceria 15 t</v>
          </cell>
          <cell r="Y734" t="str">
            <v>und</v>
          </cell>
          <cell r="Z734">
            <v>1193.5510999999999</v>
          </cell>
          <cell r="AA734">
            <v>0</v>
          </cell>
          <cell r="BC734" t="str">
            <v>M2031</v>
          </cell>
          <cell r="BD734" t="str">
            <v>Porca de ancoragem para tirante de 73 x 100 mm</v>
          </cell>
          <cell r="BE734" t="str">
            <v>t</v>
          </cell>
          <cell r="BF734">
            <v>102.4965</v>
          </cell>
          <cell r="BG734">
            <v>0</v>
          </cell>
        </row>
        <row r="735">
          <cell r="B735" t="str">
            <v>ANTT</v>
          </cell>
          <cell r="C735">
            <v>0</v>
          </cell>
          <cell r="D735" t="str">
            <v xml:space="preserve">INDENIZAÇÃO DE MATERIAL DE JAZIDA </v>
          </cell>
          <cell r="E735" t="str">
            <v>M3</v>
          </cell>
          <cell r="F735">
            <v>1.04</v>
          </cell>
          <cell r="G735">
            <v>1.04</v>
          </cell>
          <cell r="H735">
            <v>1.04</v>
          </cell>
          <cell r="I735">
            <v>0</v>
          </cell>
          <cell r="J735">
            <v>1.04</v>
          </cell>
          <cell r="K735">
            <v>1.04</v>
          </cell>
          <cell r="L735">
            <v>1.04</v>
          </cell>
          <cell r="W735" t="str">
            <v>M2439</v>
          </cell>
          <cell r="X735" t="str">
            <v>Ancoragem passiva aderente para 19 cordoalhas - D = 15,2 mm</v>
          </cell>
          <cell r="Y735" t="str">
            <v>und</v>
          </cell>
          <cell r="Z735">
            <v>432.39499999999998</v>
          </cell>
          <cell r="AA735">
            <v>0</v>
          </cell>
          <cell r="BC735" t="str">
            <v>M2468</v>
          </cell>
          <cell r="BD735" t="str">
            <v>Bainha metálica - D = 55 mm</v>
          </cell>
          <cell r="BE735" t="str">
            <v>m</v>
          </cell>
          <cell r="BF735">
            <v>19.678799999999999</v>
          </cell>
          <cell r="BG735">
            <v>0</v>
          </cell>
        </row>
        <row r="736">
          <cell r="B736" t="str">
            <v>M0028</v>
          </cell>
          <cell r="C736">
            <v>0</v>
          </cell>
          <cell r="D736" t="str">
            <v>AREIA COMERCIAL</v>
          </cell>
          <cell r="E736" t="str">
            <v>M3</v>
          </cell>
          <cell r="F736">
            <v>73.8489</v>
          </cell>
          <cell r="G736">
            <v>73.8489</v>
          </cell>
          <cell r="H736">
            <v>73.8489</v>
          </cell>
          <cell r="I736">
            <v>0</v>
          </cell>
          <cell r="J736">
            <v>77.457099999999997</v>
          </cell>
          <cell r="K736">
            <v>77.457099999999997</v>
          </cell>
          <cell r="L736">
            <v>77.457099999999997</v>
          </cell>
          <cell r="W736" t="str">
            <v>M2422</v>
          </cell>
          <cell r="X736" t="str">
            <v>Mangueira cristal trançado ar/água com capacidade de 250 lb - D = 1/2"</v>
          </cell>
          <cell r="Y736" t="str">
            <v>m</v>
          </cell>
          <cell r="Z736">
            <v>3.1208999999999998</v>
          </cell>
          <cell r="AA736">
            <v>0</v>
          </cell>
          <cell r="BC736" t="str">
            <v>M0424</v>
          </cell>
          <cell r="BD736" t="str">
            <v>Cimento Portland CP II - 32</v>
          </cell>
          <cell r="BE736" t="str">
            <v>kg</v>
          </cell>
          <cell r="BF736">
            <v>0.39460000000000001</v>
          </cell>
          <cell r="BG736">
            <v>0</v>
          </cell>
        </row>
        <row r="737">
          <cell r="B737" t="str">
            <v>23.04.01.16</v>
          </cell>
          <cell r="C737" t="str">
            <v>DER</v>
          </cell>
          <cell r="D737" t="str">
            <v>SUB-BASE OU BASE SOLO CIM 8% - PULV.</v>
          </cell>
          <cell r="E737" t="str">
            <v>M3</v>
          </cell>
          <cell r="F737">
            <v>85.507500000000007</v>
          </cell>
          <cell r="G737">
            <v>85.507500000000007</v>
          </cell>
          <cell r="H737">
            <v>85.507500000000007</v>
          </cell>
          <cell r="I737">
            <v>0</v>
          </cell>
          <cell r="J737">
            <v>85.507500000000007</v>
          </cell>
          <cell r="K737">
            <v>85.507500000000007</v>
          </cell>
          <cell r="L737">
            <v>85.507500000000007</v>
          </cell>
          <cell r="W737" t="str">
            <v>M1022</v>
          </cell>
          <cell r="X737" t="str">
            <v>Massa de vidraceiro</v>
          </cell>
          <cell r="Y737" t="str">
            <v>kg</v>
          </cell>
          <cell r="Z737">
            <v>1.9179999999999999</v>
          </cell>
          <cell r="AA737">
            <v>0</v>
          </cell>
          <cell r="BC737" t="str">
            <v>M1959</v>
          </cell>
          <cell r="BD737" t="str">
            <v>Espaçador para tirante de barra de aço - D = 53 mm</v>
          </cell>
          <cell r="BE737" t="str">
            <v>und</v>
          </cell>
          <cell r="BF737">
            <v>6.1082000000000001</v>
          </cell>
          <cell r="BG737">
            <v>0</v>
          </cell>
        </row>
        <row r="738">
          <cell r="B738">
            <v>68328</v>
          </cell>
          <cell r="C738" t="str">
            <v>SINAPI</v>
          </cell>
          <cell r="D738" t="str">
            <v>JUNTA DE DILATACAO E VEDACAO DE ISOPOR NA ESPESSURA DE 1CM, FIXADA COM COLA EMULPLAST OU SIMILAR. FORNECIMENTO E COLOCACAO.(DESONERADO)</v>
          </cell>
          <cell r="E738" t="str">
            <v>M2</v>
          </cell>
          <cell r="F738">
            <v>13.819030810000001</v>
          </cell>
          <cell r="G738">
            <v>13.819030810000001</v>
          </cell>
          <cell r="H738">
            <v>13.819030810000001</v>
          </cell>
          <cell r="I738">
            <v>0</v>
          </cell>
          <cell r="J738">
            <v>15.051632340000001</v>
          </cell>
          <cell r="K738">
            <v>15.051632340000001</v>
          </cell>
          <cell r="L738">
            <v>15.051632340000001</v>
          </cell>
          <cell r="W738" t="str">
            <v>M2416</v>
          </cell>
          <cell r="X738" t="str">
            <v>Purgador metálico - D = 95 mm</v>
          </cell>
          <cell r="Y738" t="str">
            <v>und</v>
          </cell>
          <cell r="Z738">
            <v>3.2309999999999999</v>
          </cell>
          <cell r="AA738">
            <v>0</v>
          </cell>
          <cell r="BC738" t="str">
            <v>M1985</v>
          </cell>
          <cell r="BD738" t="str">
            <v>Luva de emenda para tirantes - D = 73 x 200 mm</v>
          </cell>
          <cell r="BE738" t="str">
            <v>und</v>
          </cell>
          <cell r="BF738">
            <v>97.532200000000003</v>
          </cell>
          <cell r="BG738">
            <v>0</v>
          </cell>
        </row>
        <row r="739">
          <cell r="B739" t="str">
            <v>CPU25</v>
          </cell>
          <cell r="C739" t="str">
            <v>CPU</v>
          </cell>
          <cell r="D739" t="str">
            <v>MACAQUEAMENTO DE ESTRUTURA</v>
          </cell>
          <cell r="E739" t="str">
            <v>VB</v>
          </cell>
          <cell r="F739">
            <v>36000</v>
          </cell>
          <cell r="G739">
            <v>36000</v>
          </cell>
          <cell r="H739">
            <v>36000</v>
          </cell>
          <cell r="I739">
            <v>0</v>
          </cell>
          <cell r="J739">
            <v>36000</v>
          </cell>
          <cell r="K739">
            <v>36000</v>
          </cell>
          <cell r="L739">
            <v>36000</v>
          </cell>
          <cell r="W739" t="str">
            <v>M2433</v>
          </cell>
          <cell r="X739" t="str">
            <v>Ancoragem passiva aderente para 10 cordoalhas - D = 12,7 mm</v>
          </cell>
          <cell r="Y739" t="str">
            <v>und</v>
          </cell>
          <cell r="Z739">
            <v>153.9152</v>
          </cell>
          <cell r="AA739">
            <v>0</v>
          </cell>
          <cell r="BC739" t="str">
            <v>M2058</v>
          </cell>
          <cell r="BD739" t="str">
            <v>Tirante monobarra de aço - D = 53 mm INCO 60D</v>
          </cell>
          <cell r="BE739" t="str">
            <v>m</v>
          </cell>
          <cell r="BF739">
            <v>158.7097</v>
          </cell>
          <cell r="BG739">
            <v>0</v>
          </cell>
        </row>
        <row r="740">
          <cell r="B740">
            <v>4915739</v>
          </cell>
          <cell r="C740" t="str">
            <v>SICRO</v>
          </cell>
          <cell r="D740" t="str">
            <v>Remoção de matacões</v>
          </cell>
          <cell r="E740" t="str">
            <v>M3</v>
          </cell>
          <cell r="F740">
            <v>53.218742078225809</v>
          </cell>
          <cell r="G740">
            <v>53.218742078225809</v>
          </cell>
          <cell r="H740">
            <v>53.218742078225809</v>
          </cell>
          <cell r="I740">
            <v>0</v>
          </cell>
          <cell r="J740">
            <v>55.4088649266129</v>
          </cell>
          <cell r="K740">
            <v>55.4088649266129</v>
          </cell>
          <cell r="L740">
            <v>55.4088649266129</v>
          </cell>
          <cell r="W740" t="str">
            <v>M2410</v>
          </cell>
          <cell r="X740" t="str">
            <v>Purgador metálico - D = 65 mm</v>
          </cell>
          <cell r="Y740" t="str">
            <v>und</v>
          </cell>
          <cell r="Z740">
            <v>1.9077</v>
          </cell>
          <cell r="AA740">
            <v>0</v>
          </cell>
          <cell r="BC740" t="str">
            <v>M1912</v>
          </cell>
          <cell r="BD740" t="str">
            <v>Tubo PE 80 PN8 - D = 63 mm</v>
          </cell>
          <cell r="BE740" t="str">
            <v>m</v>
          </cell>
          <cell r="BF740">
            <v>16.912199999999999</v>
          </cell>
          <cell r="BG740">
            <v>0</v>
          </cell>
        </row>
        <row r="741">
          <cell r="B741">
            <v>5605938</v>
          </cell>
          <cell r="C741" t="str">
            <v>SICRO</v>
          </cell>
          <cell r="D741" t="str">
            <v>Perfuração para tirantes em material de 1ª categoria com diâmetro de até 120 mm</v>
          </cell>
          <cell r="E741" t="str">
            <v>M</v>
          </cell>
          <cell r="F741">
            <v>15.52511824401606</v>
          </cell>
          <cell r="G741">
            <v>15.52511824401606</v>
          </cell>
          <cell r="H741">
            <v>15.52511824401606</v>
          </cell>
          <cell r="I741">
            <v>0</v>
          </cell>
          <cell r="J741">
            <v>15.689130494377508</v>
          </cell>
          <cell r="K741">
            <v>15.689130494377508</v>
          </cell>
          <cell r="L741">
            <v>15.689130494377508</v>
          </cell>
          <cell r="W741">
            <v>5915373</v>
          </cell>
          <cell r="X741" t="str">
            <v>Carga, manobra e descarga de materiais diversos em caminhão carroceria com guindauto com capacidade de 20 t.m</v>
          </cell>
          <cell r="Y741" t="str">
            <v>t</v>
          </cell>
          <cell r="Z741">
            <v>9.51</v>
          </cell>
          <cell r="AA741">
            <v>0</v>
          </cell>
          <cell r="BC741">
            <v>5605942</v>
          </cell>
          <cell r="BD741" t="str">
            <v>Pintura eletrostática epóxi pó com espessura de 200 μm</v>
          </cell>
          <cell r="BE741" t="str">
            <v>m²</v>
          </cell>
          <cell r="BF741">
            <v>15.84</v>
          </cell>
          <cell r="BG741">
            <v>0</v>
          </cell>
        </row>
        <row r="742">
          <cell r="B742">
            <v>5605881</v>
          </cell>
          <cell r="C742" t="str">
            <v>SICRO</v>
          </cell>
          <cell r="D742" t="str">
            <v>Tirante permanente protendido de aço D = 32 mm, tipo Gewi ST 50/55, com capacidade de 210 kN - exceto perfuração</v>
          </cell>
          <cell r="E742" t="str">
            <v>M</v>
          </cell>
          <cell r="F742" t="e">
            <v>#REF!</v>
          </cell>
          <cell r="G742">
            <v>163.55612501633735</v>
          </cell>
          <cell r="H742" t="e">
            <v>#REF!</v>
          </cell>
          <cell r="I742">
            <v>0</v>
          </cell>
          <cell r="J742" t="e">
            <v>#REF!</v>
          </cell>
          <cell r="K742">
            <v>165.43282368242166</v>
          </cell>
          <cell r="L742" t="e">
            <v>#REF!</v>
          </cell>
          <cell r="W742" t="str">
            <v>M2759</v>
          </cell>
          <cell r="X742" t="str">
            <v>Aparelho de apoio metálico elastomérico fixo com 4 chumbadores e capacidade de 2.500 kN</v>
          </cell>
          <cell r="Y742" t="str">
            <v>un</v>
          </cell>
          <cell r="Z742">
            <v>24577.653999999999</v>
          </cell>
          <cell r="AA742">
            <v>0</v>
          </cell>
          <cell r="BC742">
            <v>4816106</v>
          </cell>
          <cell r="BD742" t="str">
            <v>Confecção de tubos de concreto perfurado D = 0,20 m - areia e brita comerciais</v>
          </cell>
          <cell r="BE742" t="str">
            <v>m</v>
          </cell>
          <cell r="BF742">
            <v>22.9</v>
          </cell>
          <cell r="BG742">
            <v>0</v>
          </cell>
        </row>
        <row r="743">
          <cell r="B743">
            <v>5605945</v>
          </cell>
          <cell r="C743" t="str">
            <v>SICRO</v>
          </cell>
          <cell r="D743" t="str">
            <v>Ancoragem de tirante de barra de aço de D = 32 mm com grouteamento da cabeça</v>
          </cell>
          <cell r="E743" t="str">
            <v>UN</v>
          </cell>
          <cell r="F743" t="e">
            <v>#REF!</v>
          </cell>
          <cell r="G743">
            <v>256.52384760000001</v>
          </cell>
          <cell r="H743" t="e">
            <v>#REF!</v>
          </cell>
          <cell r="I743">
            <v>0</v>
          </cell>
          <cell r="J743" t="e">
            <v>#REF!</v>
          </cell>
          <cell r="K743">
            <v>259.45482919999995</v>
          </cell>
          <cell r="L743" t="e">
            <v>#REF!</v>
          </cell>
          <cell r="W743">
            <v>1108059</v>
          </cell>
          <cell r="X743" t="str">
            <v>Microconcreto para reparos e grouteamento</v>
          </cell>
          <cell r="Y743" t="str">
            <v>m³</v>
          </cell>
          <cell r="Z743">
            <v>2229.1799999999998</v>
          </cell>
          <cell r="AA743">
            <v>0</v>
          </cell>
          <cell r="BC743" t="str">
            <v>M0682</v>
          </cell>
          <cell r="BD743" t="str">
            <v>Aço em perfis ASTM A36</v>
          </cell>
          <cell r="BE743" t="str">
            <v>kg</v>
          </cell>
          <cell r="BF743">
            <v>4.7782999999999998</v>
          </cell>
          <cell r="BG743">
            <v>0</v>
          </cell>
        </row>
        <row r="744">
          <cell r="B744" t="str">
            <v>CPU23</v>
          </cell>
          <cell r="C744" t="str">
            <v>CPU</v>
          </cell>
          <cell r="D744" t="str">
            <v>TELA TIPO SPIDER S4 - 230 SUPERCOATING - RT LONG. 220</v>
          </cell>
          <cell r="E744" t="str">
            <v>M2</v>
          </cell>
          <cell r="F744">
            <v>282</v>
          </cell>
          <cell r="G744">
            <v>282</v>
          </cell>
          <cell r="H744">
            <v>282</v>
          </cell>
          <cell r="I744">
            <v>0</v>
          </cell>
          <cell r="J744">
            <v>282</v>
          </cell>
          <cell r="K744">
            <v>282</v>
          </cell>
          <cell r="L744">
            <v>282</v>
          </cell>
          <cell r="W744" t="str">
            <v>M2761</v>
          </cell>
          <cell r="X744" t="str">
            <v>Aparelho de apoio metálico elastomérico fixo com 4 chumbadores e capacidade de 5.500 kN</v>
          </cell>
          <cell r="Y744" t="str">
            <v>un</v>
          </cell>
          <cell r="Z744">
            <v>54070.2768</v>
          </cell>
          <cell r="AA744">
            <v>0</v>
          </cell>
          <cell r="BC744">
            <v>1408173</v>
          </cell>
          <cell r="BD744" t="str">
            <v>Corte com maçarico oxiacetileno de perfis metálicos</v>
          </cell>
          <cell r="BE744" t="str">
            <v>cm²</v>
          </cell>
          <cell r="BF744">
            <v>0.56999999999999995</v>
          </cell>
          <cell r="BG744">
            <v>0</v>
          </cell>
        </row>
        <row r="745">
          <cell r="B745">
            <v>2003820</v>
          </cell>
          <cell r="C745" t="str">
            <v>SICRO</v>
          </cell>
          <cell r="D745" t="str">
            <v>Dreno tipo barbacã - DRB 01 - D = 75 mm em estrutura de contenção de encosta</v>
          </cell>
          <cell r="E745" t="str">
            <v>UN</v>
          </cell>
          <cell r="F745">
            <v>24.770980095999999</v>
          </cell>
          <cell r="G745">
            <v>24.770980095999999</v>
          </cell>
          <cell r="H745">
            <v>24.770980095999999</v>
          </cell>
          <cell r="I745">
            <v>0</v>
          </cell>
          <cell r="J745" t="e">
            <v>#REF!</v>
          </cell>
          <cell r="K745">
            <v>24.196894576000005</v>
          </cell>
          <cell r="L745" t="e">
            <v>#REF!</v>
          </cell>
          <cell r="W745" t="str">
            <v>P9835</v>
          </cell>
          <cell r="X745" t="str">
            <v>Perfurador de tubulão a ar comprimido com insalubridade</v>
          </cell>
          <cell r="Y745" t="str">
            <v>h</v>
          </cell>
          <cell r="Z745">
            <v>26.845300000000002</v>
          </cell>
          <cell r="AA745">
            <v>0</v>
          </cell>
          <cell r="BC745" t="str">
            <v>E9797</v>
          </cell>
          <cell r="BD745" t="str">
            <v>Jumbo eletro-hidráulico com 3 braços - 233 kW</v>
          </cell>
          <cell r="BE745" t="str">
            <v>h</v>
          </cell>
          <cell r="BF745">
            <v>1417.2617</v>
          </cell>
          <cell r="BG745">
            <v>672.56460000000004</v>
          </cell>
        </row>
        <row r="746">
          <cell r="B746">
            <v>100911</v>
          </cell>
          <cell r="C746" t="str">
            <v>SIURB</v>
          </cell>
          <cell r="D746" t="str">
            <v>TUBO DE FºFº  Ø = 75 MM</v>
          </cell>
          <cell r="E746" t="str">
            <v>M</v>
          </cell>
          <cell r="F746">
            <v>195.65</v>
          </cell>
          <cell r="G746">
            <v>195.65</v>
          </cell>
          <cell r="H746">
            <v>195.65</v>
          </cell>
          <cell r="I746">
            <v>0</v>
          </cell>
          <cell r="J746">
            <v>203.99</v>
          </cell>
          <cell r="K746">
            <v>203.99</v>
          </cell>
          <cell r="L746">
            <v>203.99</v>
          </cell>
          <cell r="W746" t="str">
            <v>E9019</v>
          </cell>
          <cell r="X746" t="str">
            <v>Câmara hiperbárica com filtro, serpentina e reservatório de ar - D = 1,80 m e H = 2 m</v>
          </cell>
          <cell r="Y746" t="str">
            <v>h</v>
          </cell>
          <cell r="Z746">
            <v>58.099299999999999</v>
          </cell>
          <cell r="AA746">
            <v>45.079900000000002</v>
          </cell>
          <cell r="BC746" t="str">
            <v>M1853</v>
          </cell>
          <cell r="BD746" t="str">
            <v>Aço para tirantes 750 Mpa</v>
          </cell>
          <cell r="BE746" t="str">
            <v>kg</v>
          </cell>
          <cell r="BF746">
            <v>12.85</v>
          </cell>
          <cell r="BG746">
            <v>0</v>
          </cell>
        </row>
        <row r="747">
          <cell r="B747" t="str">
            <v>CPU26</v>
          </cell>
          <cell r="C747" t="str">
            <v>CPU</v>
          </cell>
          <cell r="D747" t="str">
            <v>SUAVIZACAO E RECONFORMACAO MANUAL DE TALUDES</v>
          </cell>
          <cell r="E747" t="str">
            <v>M3</v>
          </cell>
          <cell r="F747">
            <v>13.622333333333332</v>
          </cell>
          <cell r="G747">
            <v>13.622333333333332</v>
          </cell>
          <cell r="H747">
            <v>13.622333333333332</v>
          </cell>
          <cell r="I747">
            <v>0</v>
          </cell>
          <cell r="J747">
            <v>14.026933333333334</v>
          </cell>
          <cell r="K747">
            <v>14.026933333333334</v>
          </cell>
          <cell r="L747">
            <v>14.026933333333334</v>
          </cell>
          <cell r="W747" t="str">
            <v>M2773</v>
          </cell>
          <cell r="X747" t="str">
            <v>Aparelho de apoio metálico elastomérico multidirecional com 4 chumbadores e capacidade de 2.500 kN</v>
          </cell>
          <cell r="Y747" t="str">
            <v>un</v>
          </cell>
          <cell r="Z747">
            <v>12040.418299999999</v>
          </cell>
          <cell r="AA747">
            <v>0</v>
          </cell>
          <cell r="BC747" t="str">
            <v>M1820</v>
          </cell>
          <cell r="BD747" t="str">
            <v>Cartucho de resina de poliéster de 25 x 500 mm</v>
          </cell>
          <cell r="BE747" t="str">
            <v>und</v>
          </cell>
          <cell r="BF747">
            <v>4.17</v>
          </cell>
          <cell r="BG747">
            <v>0</v>
          </cell>
        </row>
        <row r="748">
          <cell r="B748" t="str">
            <v>26.16.01</v>
          </cell>
          <cell r="C748" t="str">
            <v>DER</v>
          </cell>
          <cell r="D748" t="str">
            <v>PROTECAO DE TALUDE COM BLOCO DE CONCRETO INTERTRAVADO COM BLOCOS DE 30CM.</v>
          </cell>
          <cell r="E748" t="str">
            <v>M2</v>
          </cell>
          <cell r="F748">
            <v>81.939000000000007</v>
          </cell>
          <cell r="G748">
            <v>81.939000000000007</v>
          </cell>
          <cell r="H748">
            <v>81.939000000000007</v>
          </cell>
          <cell r="I748">
            <v>0</v>
          </cell>
          <cell r="J748">
            <v>81.939000000000007</v>
          </cell>
          <cell r="K748">
            <v>81.939000000000007</v>
          </cell>
          <cell r="L748">
            <v>81.939000000000007</v>
          </cell>
          <cell r="W748" t="str">
            <v>M2766</v>
          </cell>
          <cell r="X748" t="str">
            <v>Aparelho de apoio metálico elastomérico unidirecional com 4 chumbadores e capacidade de 2.500 kN</v>
          </cell>
          <cell r="Y748" t="str">
            <v>un</v>
          </cell>
          <cell r="Z748">
            <v>16556.250199999999</v>
          </cell>
          <cell r="AA748">
            <v>0</v>
          </cell>
          <cell r="BC748" t="str">
            <v>M3090</v>
          </cell>
          <cell r="BD748" t="str">
            <v>Placa de ancoragem para tirante de 160 x 160 x 20 mm</v>
          </cell>
          <cell r="BE748" t="str">
            <v>und</v>
          </cell>
          <cell r="BF748">
            <v>48.371099999999998</v>
          </cell>
          <cell r="BG748">
            <v>0</v>
          </cell>
        </row>
        <row r="749">
          <cell r="B749">
            <v>5605949</v>
          </cell>
          <cell r="C749" t="str">
            <v>SICRO</v>
          </cell>
          <cell r="D749" t="str">
            <v>Ancoragem de tirante de barra de aço de D = 53mm com grouteamento da cabeça</v>
          </cell>
          <cell r="E749" t="str">
            <v>UN</v>
          </cell>
          <cell r="F749">
            <v>428.98355510000005</v>
          </cell>
          <cell r="G749">
            <v>428.98355510000005</v>
          </cell>
          <cell r="H749">
            <v>428.98355510000005</v>
          </cell>
          <cell r="I749">
            <v>0</v>
          </cell>
          <cell r="J749">
            <v>432.47675606500002</v>
          </cell>
          <cell r="K749">
            <v>432.47675606500002</v>
          </cell>
          <cell r="L749">
            <v>432.47675606500002</v>
          </cell>
          <cell r="W749" t="str">
            <v>M1132</v>
          </cell>
          <cell r="X749" t="str">
            <v>Junta em perfil extrudado de borracha vulcanizada de 20 x 40 mm</v>
          </cell>
          <cell r="Y749" t="str">
            <v>m</v>
          </cell>
          <cell r="Z749">
            <v>323</v>
          </cell>
          <cell r="AA749">
            <v>0</v>
          </cell>
          <cell r="BC749" t="str">
            <v>M3091</v>
          </cell>
          <cell r="BD749" t="str">
            <v>Porca sextavada de 3/4" a 1 1/2"</v>
          </cell>
          <cell r="BE749" t="str">
            <v>und</v>
          </cell>
          <cell r="BF749">
            <v>44.1</v>
          </cell>
          <cell r="BG749">
            <v>0</v>
          </cell>
        </row>
        <row r="750">
          <cell r="B750">
            <v>5605966</v>
          </cell>
          <cell r="C750" t="str">
            <v>SICRO</v>
          </cell>
          <cell r="D750" t="str">
            <v>Tirante permanente protendido INCO 60D D = 53mm, com capacidade de 600 kN - exceto perfuração</v>
          </cell>
          <cell r="E750" t="str">
            <v>UN</v>
          </cell>
          <cell r="F750">
            <v>256.48847610171083</v>
          </cell>
          <cell r="G750">
            <v>256.48847610171083</v>
          </cell>
          <cell r="H750">
            <v>256.48847610171083</v>
          </cell>
          <cell r="I750">
            <v>0</v>
          </cell>
          <cell r="J750">
            <v>259.5505933171446</v>
          </cell>
          <cell r="K750">
            <v>259.5505933171446</v>
          </cell>
          <cell r="L750">
            <v>259.5505933171446</v>
          </cell>
          <cell r="W750" t="str">
            <v>M2979</v>
          </cell>
          <cell r="X750" t="str">
            <v>Chumbador em Aço CA 25</v>
          </cell>
          <cell r="Y750" t="str">
            <v>kg</v>
          </cell>
          <cell r="Z750">
            <v>2.9361999999999999</v>
          </cell>
          <cell r="AA750">
            <v>0</v>
          </cell>
          <cell r="BC750" t="str">
            <v>COT004</v>
          </cell>
          <cell r="BD750" t="str">
            <v>Macaqueamento de estrutura</v>
          </cell>
          <cell r="BE750" t="str">
            <v>UN </v>
          </cell>
          <cell r="BF750">
            <v>36000</v>
          </cell>
          <cell r="BG750">
            <v>0</v>
          </cell>
        </row>
        <row r="751">
          <cell r="B751">
            <v>5605939</v>
          </cell>
          <cell r="C751" t="str">
            <v>SICRO</v>
          </cell>
          <cell r="D751" t="str">
            <v>Perfuração para tirantes em material de 2ª categoria com diâmetro de até 120 mm</v>
          </cell>
          <cell r="E751" t="str">
            <v>M</v>
          </cell>
          <cell r="F751">
            <v>18.668260254819273</v>
          </cell>
          <cell r="G751">
            <v>18.668260254819273</v>
          </cell>
          <cell r="H751">
            <v>18.668260254819273</v>
          </cell>
          <cell r="I751">
            <v>0</v>
          </cell>
          <cell r="J751">
            <v>18.86511818825301</v>
          </cell>
          <cell r="K751">
            <v>18.86511818825301</v>
          </cell>
          <cell r="L751">
            <v>18.86511818825301</v>
          </cell>
          <cell r="W751" t="str">
            <v>M2762</v>
          </cell>
          <cell r="X751" t="str">
            <v>Aparelho de apoio metálico elastomérico fixo com 4 chumbadores e capacidade de 7.500 kN</v>
          </cell>
          <cell r="Y751" t="str">
            <v>un</v>
          </cell>
          <cell r="Z751">
            <v>73732.856400000004</v>
          </cell>
          <cell r="AA751">
            <v>0</v>
          </cell>
          <cell r="BC751">
            <v>546</v>
          </cell>
          <cell r="BD751" t="str">
            <v>BARRA DE FERRO RETANGULAR, BARRA CHATA (QUALQUER DIMENSAO)</v>
          </cell>
          <cell r="BE751" t="str">
            <v>KG</v>
          </cell>
          <cell r="BF751">
            <v>5.54</v>
          </cell>
          <cell r="BG751">
            <v>0</v>
          </cell>
        </row>
        <row r="752">
          <cell r="B752">
            <v>2003917</v>
          </cell>
          <cell r="C752" t="str">
            <v>SICRO</v>
          </cell>
          <cell r="D752" t="str">
            <v>Dreno longitudinal profundo para corte em rocha - DPR 02 - tubo de concreto perfurado e brita comercial</v>
          </cell>
          <cell r="E752" t="str">
            <v>M</v>
          </cell>
          <cell r="F752">
            <v>129.59838060000001</v>
          </cell>
          <cell r="G752">
            <v>129.59838060000001</v>
          </cell>
          <cell r="H752">
            <v>129.59838060000001</v>
          </cell>
          <cell r="I752">
            <v>0</v>
          </cell>
          <cell r="J752">
            <v>135.5274612</v>
          </cell>
          <cell r="K752">
            <v>135.5274612</v>
          </cell>
          <cell r="L752">
            <v>135.5274612</v>
          </cell>
          <cell r="W752" t="str">
            <v>M2760</v>
          </cell>
          <cell r="X752" t="str">
            <v>Aparelho de apoio metálico elastomérico fixo com 4 chumbadores e capacidade de 4.000 kN</v>
          </cell>
          <cell r="Y752" t="str">
            <v>un</v>
          </cell>
          <cell r="Z752">
            <v>39323.575599999996</v>
          </cell>
          <cell r="AA752">
            <v>0</v>
          </cell>
          <cell r="BC752" t="str">
            <v>COT005</v>
          </cell>
          <cell r="BD752" t="str">
            <v>SINALIZAÇÃO SONORA</v>
          </cell>
          <cell r="BE752" t="str">
            <v>m</v>
          </cell>
          <cell r="BF752">
            <v>9900</v>
          </cell>
          <cell r="BG752">
            <v>0</v>
          </cell>
        </row>
        <row r="753">
          <cell r="B753">
            <v>3108007</v>
          </cell>
          <cell r="C753" t="str">
            <v>SICRO</v>
          </cell>
          <cell r="D753" t="str">
            <v>Formas de compensado plastificado 10 mm - uso geral - utilização de 1 vez - confecção, instalação e retirada</v>
          </cell>
          <cell r="E753" t="str">
            <v>M2</v>
          </cell>
          <cell r="F753">
            <v>105.14826629200002</v>
          </cell>
          <cell r="G753">
            <v>105.14826629200002</v>
          </cell>
          <cell r="H753">
            <v>105.14826629200002</v>
          </cell>
          <cell r="I753">
            <v>0</v>
          </cell>
          <cell r="J753">
            <v>106.129828252</v>
          </cell>
          <cell r="K753">
            <v>106.129828252</v>
          </cell>
          <cell r="L753">
            <v>106.129828252</v>
          </cell>
          <cell r="W753" t="str">
            <v>M2767</v>
          </cell>
          <cell r="X753" t="str">
            <v>Aparelho de apoio metálico elastomérico unidirecional com 4 chumbadores e capacidade de 4.000 kN</v>
          </cell>
          <cell r="Y753" t="str">
            <v>un</v>
          </cell>
          <cell r="Z753">
            <v>22616.732800000002</v>
          </cell>
          <cell r="AA753">
            <v>0</v>
          </cell>
          <cell r="BC753" t="str">
            <v>COT006</v>
          </cell>
          <cell r="BD753" t="str">
            <v>Carro de avanço sucessivo</v>
          </cell>
          <cell r="BE753" t="str">
            <v>undxmês</v>
          </cell>
          <cell r="BF753">
            <v>22500</v>
          </cell>
          <cell r="BG753">
            <v>0</v>
          </cell>
        </row>
        <row r="754">
          <cell r="B754">
            <v>2408149</v>
          </cell>
          <cell r="C754" t="str">
            <v>SICRO</v>
          </cell>
          <cell r="D754" t="str">
            <v>Estrutura em chapa de aço ASTM A36 corte, solda e montagem - fornecimento e instalação</v>
          </cell>
          <cell r="E754" t="str">
            <v>KG</v>
          </cell>
          <cell r="F754">
            <v>10.758938664</v>
          </cell>
          <cell r="G754">
            <v>10.758938664</v>
          </cell>
          <cell r="H754">
            <v>10.758938664</v>
          </cell>
          <cell r="I754">
            <v>0</v>
          </cell>
          <cell r="J754">
            <v>10.475959153333333</v>
          </cell>
          <cell r="K754">
            <v>10.475959153333333</v>
          </cell>
          <cell r="L754">
            <v>10.475959153333333</v>
          </cell>
          <cell r="W754">
            <v>3107967</v>
          </cell>
          <cell r="X754" t="str">
            <v>Forma metálica em chapa 1/8' reforçada com nervuras de 40 mm x 1/8' dispostas em grelhas de 40 x 60 cm - utilização de 100 vezes - confecção,
instalação e retirada</v>
          </cell>
          <cell r="Y754" t="str">
            <v>m²</v>
          </cell>
          <cell r="Z754">
            <v>7.14</v>
          </cell>
          <cell r="AA754">
            <v>0</v>
          </cell>
          <cell r="BC754" t="str">
            <v>COT007</v>
          </cell>
          <cell r="BD754" t="str">
            <v>Lançamento de vigas através de treliça lançadeira</v>
          </cell>
          <cell r="BE754" t="str">
            <v>und</v>
          </cell>
          <cell r="BF754">
            <v>9723</v>
          </cell>
          <cell r="BG754">
            <v>0</v>
          </cell>
        </row>
        <row r="755">
          <cell r="B755">
            <v>5605934</v>
          </cell>
          <cell r="C755" t="str">
            <v>SICRO</v>
          </cell>
          <cell r="D755" t="str">
            <v>Tirante de barra de aço 750 MPa D = 25 mm ancorado na rocha com resina de poliéster - carga de trabalho permanente de 164kN - fornecimento, perfuração e instalação</v>
          </cell>
          <cell r="E755" t="str">
            <v>M</v>
          </cell>
          <cell r="F755">
            <v>107.71965209552167</v>
          </cell>
          <cell r="G755">
            <v>107.71965209552167</v>
          </cell>
          <cell r="H755">
            <v>107.71965209552167</v>
          </cell>
          <cell r="I755">
            <v>0</v>
          </cell>
          <cell r="J755">
            <v>107.36283873830322</v>
          </cell>
          <cell r="K755">
            <v>107.36283873830322</v>
          </cell>
          <cell r="L755">
            <v>107.36283873830322</v>
          </cell>
          <cell r="W755" t="str">
            <v>M1379</v>
          </cell>
          <cell r="X755" t="str">
            <v>Argamassa polimérica de alto desempenho</v>
          </cell>
          <cell r="Y755" t="str">
            <v>kg</v>
          </cell>
          <cell r="Z755">
            <v>4.3635999999999999</v>
          </cell>
          <cell r="AA755">
            <v>0</v>
          </cell>
          <cell r="BC755" t="str">
            <v>A9317</v>
          </cell>
          <cell r="BD755" t="str">
            <v>Caminhão plataforma 8 x 2, PBT 29.000 kg e distância entre eixos 4,8 m - 188 kW - Motorista de veículo especial</v>
          </cell>
          <cell r="BE755" t="str">
            <v>h</v>
          </cell>
          <cell r="BF755">
            <v>166.46119999999999</v>
          </cell>
          <cell r="BG755">
            <v>51.584000000000003</v>
          </cell>
        </row>
        <row r="756">
          <cell r="B756" t="str">
            <v>25.20.09</v>
          </cell>
          <cell r="C756" t="str">
            <v>DER</v>
          </cell>
          <cell r="D756" t="str">
            <v xml:space="preserve">SOLO REFORCADO TIPO PE DE TALUDE COM ALTURA DE 0 A 6M E ATERRO DE 0 A 3M       </v>
          </cell>
          <cell r="E756" t="str">
            <v>m2</v>
          </cell>
          <cell r="F756">
            <v>549.17849999999999</v>
          </cell>
          <cell r="G756">
            <v>549.17849999999999</v>
          </cell>
          <cell r="H756">
            <v>549.17849999999999</v>
          </cell>
          <cell r="I756">
            <v>0</v>
          </cell>
          <cell r="J756">
            <v>549.17849999999999</v>
          </cell>
          <cell r="K756">
            <v>549.17849999999999</v>
          </cell>
          <cell r="L756">
            <v>549.17849999999999</v>
          </cell>
          <cell r="W756" t="str">
            <v>M2775</v>
          </cell>
          <cell r="X756" t="str">
            <v>Aparelho de apoio metálico elastomérico multidirecional com 4 chumbadores e capacidade de 5.500 kN</v>
          </cell>
          <cell r="Y756" t="str">
            <v>un</v>
          </cell>
          <cell r="Z756">
            <v>28996.968000000001</v>
          </cell>
          <cell r="AA756">
            <v>0</v>
          </cell>
          <cell r="BC756" t="str">
            <v>M2023</v>
          </cell>
          <cell r="BD756" t="str">
            <v>Espoleta comum NR 8</v>
          </cell>
          <cell r="BE756" t="str">
            <v>und</v>
          </cell>
          <cell r="BF756">
            <v>2.5489000000000002</v>
          </cell>
          <cell r="BG756">
            <v>0</v>
          </cell>
        </row>
        <row r="757">
          <cell r="B757" t="str">
            <v>25.20.10</v>
          </cell>
          <cell r="C757" t="str">
            <v>DER</v>
          </cell>
          <cell r="D757" t="str">
            <v xml:space="preserve">SOLO REFORCADO TIPO PE DE TALUDE COM ALTURA DE 0 A 6M E ATERRO DE 3 A 6M       </v>
          </cell>
          <cell r="E757" t="str">
            <v>m2</v>
          </cell>
          <cell r="F757">
            <v>573.61200000000008</v>
          </cell>
          <cell r="G757">
            <v>573.61200000000008</v>
          </cell>
          <cell r="H757">
            <v>573.61200000000008</v>
          </cell>
          <cell r="I757">
            <v>0</v>
          </cell>
          <cell r="J757">
            <v>573.61200000000008</v>
          </cell>
          <cell r="K757">
            <v>573.61200000000008</v>
          </cell>
          <cell r="L757">
            <v>573.61200000000008</v>
          </cell>
          <cell r="W757" t="str">
            <v>E9652</v>
          </cell>
          <cell r="X757" t="str">
            <v>Compressor de ar portátil de 1146 PCM - 369 kW</v>
          </cell>
          <cell r="Y757" t="str">
            <v>h</v>
          </cell>
          <cell r="Z757">
            <v>254.02090000000001</v>
          </cell>
          <cell r="AA757">
            <v>35.549599999999998</v>
          </cell>
          <cell r="BC757" t="str">
            <v>M2026</v>
          </cell>
          <cell r="BD757" t="str">
            <v>Estopim</v>
          </cell>
          <cell r="BE757" t="str">
            <v>m</v>
          </cell>
          <cell r="BF757">
            <v>2.2301000000000002</v>
          </cell>
          <cell r="BG757">
            <v>0</v>
          </cell>
        </row>
        <row r="758">
          <cell r="B758" t="str">
            <v>25.20.11</v>
          </cell>
          <cell r="C758" t="str">
            <v>DER</v>
          </cell>
          <cell r="D758" t="str">
            <v xml:space="preserve">SOLO REFORCADO TIPO PE DE TALUDE COM ALTURA DE 0 A 6M E ATERRO MAIOR QUE 6M    </v>
          </cell>
          <cell r="E758" t="str">
            <v>m2</v>
          </cell>
          <cell r="F758">
            <v>691.94450000000006</v>
          </cell>
          <cell r="G758">
            <v>691.94450000000006</v>
          </cell>
          <cell r="H758">
            <v>691.94450000000006</v>
          </cell>
          <cell r="I758">
            <v>0</v>
          </cell>
          <cell r="J758">
            <v>691.94450000000006</v>
          </cell>
          <cell r="K758">
            <v>691.94450000000006</v>
          </cell>
          <cell r="L758">
            <v>691.94450000000006</v>
          </cell>
          <cell r="W758">
            <v>0</v>
          </cell>
          <cell r="X758">
            <v>0</v>
          </cell>
          <cell r="Y758">
            <v>0</v>
          </cell>
          <cell r="Z758">
            <v>0</v>
          </cell>
          <cell r="AA758">
            <v>0</v>
          </cell>
          <cell r="BC758">
            <v>0</v>
          </cell>
          <cell r="BD758">
            <v>0</v>
          </cell>
          <cell r="BE758">
            <v>0</v>
          </cell>
          <cell r="BF758">
            <v>0</v>
          </cell>
          <cell r="BG758">
            <v>0</v>
          </cell>
        </row>
        <row r="759">
          <cell r="B759" t="str">
            <v>25.20.12</v>
          </cell>
          <cell r="C759" t="str">
            <v>DER</v>
          </cell>
          <cell r="D759" t="str">
            <v xml:space="preserve">SOLO REFORCADO TIPO PE DE TALUDE COM ALTURA DE 6 A 9M E ATERRO DE 0 A 3M       </v>
          </cell>
          <cell r="E759" t="str">
            <v>m2</v>
          </cell>
          <cell r="F759">
            <v>601.91949999999997</v>
          </cell>
          <cell r="G759">
            <v>601.91949999999997</v>
          </cell>
          <cell r="H759">
            <v>601.91949999999997</v>
          </cell>
          <cell r="I759">
            <v>0</v>
          </cell>
          <cell r="J759">
            <v>601.91949999999997</v>
          </cell>
          <cell r="K759">
            <v>601.91949999999997</v>
          </cell>
          <cell r="L759">
            <v>601.91949999999997</v>
          </cell>
          <cell r="W759">
            <v>0</v>
          </cell>
          <cell r="X759">
            <v>0</v>
          </cell>
          <cell r="Y759">
            <v>0</v>
          </cell>
          <cell r="Z759">
            <v>0</v>
          </cell>
          <cell r="AA759">
            <v>0</v>
          </cell>
          <cell r="BC759">
            <v>0</v>
          </cell>
          <cell r="BD759">
            <v>0</v>
          </cell>
          <cell r="BE759">
            <v>0</v>
          </cell>
          <cell r="BF759">
            <v>0</v>
          </cell>
          <cell r="BG759">
            <v>0</v>
          </cell>
        </row>
        <row r="760">
          <cell r="B760" t="str">
            <v>25.20.13</v>
          </cell>
          <cell r="C760" t="str">
            <v>DER</v>
          </cell>
          <cell r="D760" t="str">
            <v xml:space="preserve">SOLO REFORCADO TIPO PE DE TALUDE COM ALTURA DE 6 A 9M E ATERRO DE 3 A 6M       </v>
          </cell>
          <cell r="E760" t="str">
            <v>m2</v>
          </cell>
          <cell r="F760">
            <v>691.94450000000006</v>
          </cell>
          <cell r="G760">
            <v>691.94450000000006</v>
          </cell>
          <cell r="H760">
            <v>691.94450000000006</v>
          </cell>
          <cell r="I760">
            <v>0</v>
          </cell>
          <cell r="J760">
            <v>691.94450000000006</v>
          </cell>
          <cell r="K760">
            <v>691.94450000000006</v>
          </cell>
          <cell r="L760">
            <v>691.94450000000006</v>
          </cell>
          <cell r="W760">
            <v>0</v>
          </cell>
          <cell r="X760">
            <v>0</v>
          </cell>
          <cell r="Y760">
            <v>0</v>
          </cell>
          <cell r="Z760">
            <v>0</v>
          </cell>
          <cell r="AA760">
            <v>0</v>
          </cell>
          <cell r="BC760">
            <v>0</v>
          </cell>
          <cell r="BD760">
            <v>0</v>
          </cell>
          <cell r="BE760">
            <v>0</v>
          </cell>
          <cell r="BF760">
            <v>0</v>
          </cell>
          <cell r="BG760">
            <v>0</v>
          </cell>
        </row>
        <row r="761">
          <cell r="B761" t="str">
            <v>25.20.14</v>
          </cell>
          <cell r="C761" t="str">
            <v>DER</v>
          </cell>
          <cell r="D761" t="str">
            <v xml:space="preserve">SOLO REFORCADO TIPO PE DE TALUDE COM ALTURA DE 6 A 9M E ATERRO MAIOR QUE 6M    </v>
          </cell>
          <cell r="E761" t="str">
            <v>m2</v>
          </cell>
          <cell r="F761">
            <v>726.68700000000001</v>
          </cell>
          <cell r="G761">
            <v>726.68700000000001</v>
          </cell>
          <cell r="H761">
            <v>726.68700000000001</v>
          </cell>
          <cell r="I761">
            <v>0</v>
          </cell>
          <cell r="J761">
            <v>726.68700000000001</v>
          </cell>
          <cell r="K761">
            <v>726.68700000000001</v>
          </cell>
          <cell r="L761">
            <v>726.68700000000001</v>
          </cell>
          <cell r="W761">
            <v>0</v>
          </cell>
          <cell r="X761">
            <v>0</v>
          </cell>
          <cell r="Y761">
            <v>0</v>
          </cell>
          <cell r="Z761">
            <v>0</v>
          </cell>
          <cell r="AA761">
            <v>0</v>
          </cell>
          <cell r="BC761">
            <v>0</v>
          </cell>
          <cell r="BD761">
            <v>0</v>
          </cell>
          <cell r="BE761">
            <v>0</v>
          </cell>
          <cell r="BF761">
            <v>0</v>
          </cell>
          <cell r="BG761">
            <v>0</v>
          </cell>
        </row>
        <row r="762">
          <cell r="B762" t="str">
            <v>25.20.15</v>
          </cell>
          <cell r="C762" t="str">
            <v>DER</v>
          </cell>
          <cell r="D762" t="str">
            <v xml:space="preserve">SOLO REFORCADO TIPO PE DE TALUDE COM ALTURA DE 9 A 12M E ATERRO DE 0 A 3M      </v>
          </cell>
          <cell r="E762" t="str">
            <v>m2</v>
          </cell>
          <cell r="F762">
            <v>726.68700000000001</v>
          </cell>
          <cell r="G762">
            <v>726.68700000000001</v>
          </cell>
          <cell r="H762">
            <v>726.68700000000001</v>
          </cell>
          <cell r="I762">
            <v>0</v>
          </cell>
          <cell r="J762">
            <v>726.68700000000001</v>
          </cell>
          <cell r="K762">
            <v>726.68700000000001</v>
          </cell>
          <cell r="L762">
            <v>726.68700000000001</v>
          </cell>
          <cell r="W762">
            <v>0</v>
          </cell>
          <cell r="X762">
            <v>0</v>
          </cell>
          <cell r="Y762">
            <v>0</v>
          </cell>
          <cell r="Z762">
            <v>0</v>
          </cell>
          <cell r="AA762">
            <v>0</v>
          </cell>
          <cell r="BC762">
            <v>0</v>
          </cell>
          <cell r="BD762">
            <v>0</v>
          </cell>
          <cell r="BE762">
            <v>0</v>
          </cell>
          <cell r="BF762">
            <v>0</v>
          </cell>
          <cell r="BG762">
            <v>0</v>
          </cell>
        </row>
        <row r="763">
          <cell r="B763" t="str">
            <v>25.20.16</v>
          </cell>
          <cell r="C763" t="str">
            <v>DER</v>
          </cell>
          <cell r="D763" t="str">
            <v xml:space="preserve">SOLO REFORCADO TIPO PE DE TALUDE COM ALTURA DE 9 A 12M E ATERRO DE 3 A 6M      </v>
          </cell>
          <cell r="E763" t="str">
            <v>m2</v>
          </cell>
          <cell r="F763">
            <v>838.55849999999998</v>
          </cell>
          <cell r="G763">
            <v>838.55849999999998</v>
          </cell>
          <cell r="H763">
            <v>838.55849999999998</v>
          </cell>
          <cell r="I763">
            <v>0</v>
          </cell>
          <cell r="J763">
            <v>838.55849999999998</v>
          </cell>
          <cell r="K763">
            <v>838.55849999999998</v>
          </cell>
          <cell r="L763">
            <v>838.55849999999998</v>
          </cell>
          <cell r="W763">
            <v>0</v>
          </cell>
          <cell r="X763">
            <v>0</v>
          </cell>
          <cell r="Y763">
            <v>0</v>
          </cell>
          <cell r="Z763">
            <v>0</v>
          </cell>
          <cell r="AA763">
            <v>0</v>
          </cell>
          <cell r="BC763">
            <v>0</v>
          </cell>
          <cell r="BD763">
            <v>0</v>
          </cell>
          <cell r="BE763">
            <v>0</v>
          </cell>
          <cell r="BF763">
            <v>0</v>
          </cell>
          <cell r="BG763">
            <v>0</v>
          </cell>
        </row>
        <row r="764">
          <cell r="B764" t="str">
            <v>25.20.17</v>
          </cell>
          <cell r="C764" t="str">
            <v>DER</v>
          </cell>
          <cell r="D764" t="str">
            <v xml:space="preserve">SOLO REFORCADO TIPO PE DE TALUDE COM ALTURA DE 9 A 12M E ATERRO MAIOR QUE 6M   </v>
          </cell>
          <cell r="E764" t="str">
            <v>m2</v>
          </cell>
          <cell r="F764">
            <v>838.55849999999998</v>
          </cell>
          <cell r="G764">
            <v>838.55849999999998</v>
          </cell>
          <cell r="H764">
            <v>838.55849999999998</v>
          </cell>
          <cell r="I764">
            <v>0</v>
          </cell>
          <cell r="J764">
            <v>838.55849999999998</v>
          </cell>
          <cell r="K764">
            <v>838.55849999999998</v>
          </cell>
          <cell r="L764">
            <v>838.55849999999998</v>
          </cell>
          <cell r="W764">
            <v>0</v>
          </cell>
          <cell r="X764">
            <v>0</v>
          </cell>
          <cell r="Y764">
            <v>0</v>
          </cell>
          <cell r="Z764">
            <v>0</v>
          </cell>
          <cell r="AA764">
            <v>0</v>
          </cell>
          <cell r="BC764">
            <v>0</v>
          </cell>
          <cell r="BD764">
            <v>0</v>
          </cell>
          <cell r="BE764">
            <v>0</v>
          </cell>
          <cell r="BF764">
            <v>0</v>
          </cell>
          <cell r="BG764">
            <v>0</v>
          </cell>
        </row>
        <row r="765">
          <cell r="B765" t="str">
            <v>25.20.18</v>
          </cell>
          <cell r="C765" t="str">
            <v>DER</v>
          </cell>
          <cell r="D765" t="str">
            <v xml:space="preserve">SOLO REFORCADO TIPO DE PE DE TALUDE DE 12 A 15M E ATERRO DE 0 A 3M             </v>
          </cell>
          <cell r="E765" t="str">
            <v>m2</v>
          </cell>
          <cell r="F765">
            <v>881.0100000000001</v>
          </cell>
          <cell r="G765">
            <v>881.0100000000001</v>
          </cell>
          <cell r="H765">
            <v>881.0100000000001</v>
          </cell>
          <cell r="I765">
            <v>0</v>
          </cell>
          <cell r="J765">
            <v>881.0100000000001</v>
          </cell>
          <cell r="K765">
            <v>881.0100000000001</v>
          </cell>
          <cell r="L765">
            <v>881.0100000000001</v>
          </cell>
          <cell r="W765">
            <v>0</v>
          </cell>
          <cell r="X765">
            <v>0</v>
          </cell>
          <cell r="Y765">
            <v>0</v>
          </cell>
          <cell r="Z765">
            <v>0</v>
          </cell>
          <cell r="AA765">
            <v>0</v>
          </cell>
          <cell r="BC765">
            <v>0</v>
          </cell>
          <cell r="BD765">
            <v>0</v>
          </cell>
          <cell r="BE765">
            <v>0</v>
          </cell>
          <cell r="BF765">
            <v>0</v>
          </cell>
          <cell r="BG765">
            <v>0</v>
          </cell>
        </row>
        <row r="766">
          <cell r="B766" t="str">
            <v>25.20.19</v>
          </cell>
          <cell r="C766" t="str">
            <v>DER</v>
          </cell>
          <cell r="D766" t="str">
            <v xml:space="preserve">SOLO REFORCADO TIPO PE DE TALUDE DE 12 A 15M E ATERRO DE 3 A 6M                </v>
          </cell>
          <cell r="E766" t="str">
            <v>m2</v>
          </cell>
          <cell r="F766">
            <v>946.15299999999991</v>
          </cell>
          <cell r="G766">
            <v>946.15299999999991</v>
          </cell>
          <cell r="H766">
            <v>946.15299999999991</v>
          </cell>
          <cell r="I766">
            <v>0</v>
          </cell>
          <cell r="J766">
            <v>946.15299999999991</v>
          </cell>
          <cell r="K766">
            <v>946.15299999999991</v>
          </cell>
          <cell r="L766">
            <v>946.15299999999991</v>
          </cell>
          <cell r="W766">
            <v>0</v>
          </cell>
          <cell r="X766">
            <v>0</v>
          </cell>
          <cell r="Y766">
            <v>0</v>
          </cell>
          <cell r="Z766">
            <v>0</v>
          </cell>
          <cell r="AA766">
            <v>0</v>
          </cell>
          <cell r="BC766">
            <v>0</v>
          </cell>
          <cell r="BD766">
            <v>0</v>
          </cell>
          <cell r="BE766">
            <v>0</v>
          </cell>
          <cell r="BF766">
            <v>0</v>
          </cell>
          <cell r="BG766">
            <v>0</v>
          </cell>
        </row>
        <row r="767">
          <cell r="B767" t="str">
            <v>25.20.20</v>
          </cell>
          <cell r="C767" t="str">
            <v>DER</v>
          </cell>
          <cell r="D767" t="str">
            <v xml:space="preserve">SOLO REFORCADO TIPO PE DE TALUDE DE 12 A 15M E ATERRO MAIOR QUE 6M             </v>
          </cell>
          <cell r="E767" t="str">
            <v>m2</v>
          </cell>
          <cell r="F767">
            <v>973.596</v>
          </cell>
          <cell r="G767">
            <v>973.596</v>
          </cell>
          <cell r="H767">
            <v>973.596</v>
          </cell>
          <cell r="I767">
            <v>0</v>
          </cell>
          <cell r="J767">
            <v>973.596</v>
          </cell>
          <cell r="K767">
            <v>973.596</v>
          </cell>
          <cell r="L767">
            <v>973.596</v>
          </cell>
          <cell r="W767">
            <v>0</v>
          </cell>
          <cell r="X767">
            <v>0</v>
          </cell>
          <cell r="Y767">
            <v>0</v>
          </cell>
          <cell r="Z767">
            <v>0</v>
          </cell>
          <cell r="AA767">
            <v>0</v>
          </cell>
          <cell r="BC767">
            <v>0</v>
          </cell>
          <cell r="BD767">
            <v>0</v>
          </cell>
          <cell r="BE767">
            <v>0</v>
          </cell>
          <cell r="BF767">
            <v>0</v>
          </cell>
          <cell r="BG767">
            <v>0</v>
          </cell>
        </row>
        <row r="768">
          <cell r="B768" t="str">
            <v>24.23.05</v>
          </cell>
          <cell r="C768" t="str">
            <v>DER</v>
          </cell>
          <cell r="D768" t="str">
            <v xml:space="preserve">GEOCOMP. DRENANTE (GEOMANTA+GEOTEXTIL 1 LADO PER./1 LADOIMP.) TIPO 2L FP-10MM  </v>
          </cell>
          <cell r="E768" t="str">
            <v>m2</v>
          </cell>
          <cell r="F768">
            <v>22.275500000000005</v>
          </cell>
          <cell r="G768">
            <v>22.275500000000005</v>
          </cell>
          <cell r="H768">
            <v>22.275500000000005</v>
          </cell>
          <cell r="I768">
            <v>0</v>
          </cell>
          <cell r="J768">
            <v>22.275500000000005</v>
          </cell>
          <cell r="K768">
            <v>22.275500000000005</v>
          </cell>
          <cell r="L768">
            <v>22.275500000000005</v>
          </cell>
          <cell r="W768">
            <v>0</v>
          </cell>
          <cell r="X768">
            <v>0</v>
          </cell>
          <cell r="Y768">
            <v>0</v>
          </cell>
          <cell r="Z768">
            <v>0</v>
          </cell>
          <cell r="AA768">
            <v>0</v>
          </cell>
          <cell r="BC768">
            <v>0</v>
          </cell>
          <cell r="BD768">
            <v>0</v>
          </cell>
          <cell r="BE768">
            <v>0</v>
          </cell>
          <cell r="BF768">
            <v>0</v>
          </cell>
          <cell r="BG768">
            <v>0</v>
          </cell>
        </row>
        <row r="769">
          <cell r="B769" t="str">
            <v>CPU27</v>
          </cell>
          <cell r="C769" t="str">
            <v>CPU</v>
          </cell>
          <cell r="D769" t="str">
            <v xml:space="preserve">Sonorizadores ao longo do acostamento </v>
          </cell>
          <cell r="E769" t="str">
            <v>m</v>
          </cell>
          <cell r="F769">
            <v>9.9</v>
          </cell>
          <cell r="G769">
            <v>9.9</v>
          </cell>
          <cell r="H769">
            <v>9.9</v>
          </cell>
          <cell r="I769">
            <v>0</v>
          </cell>
          <cell r="J769">
            <v>9.9</v>
          </cell>
          <cell r="K769">
            <v>9.9</v>
          </cell>
          <cell r="L769">
            <v>9.9</v>
          </cell>
          <cell r="W769">
            <v>0</v>
          </cell>
          <cell r="X769">
            <v>0</v>
          </cell>
          <cell r="Y769">
            <v>0</v>
          </cell>
          <cell r="Z769">
            <v>0</v>
          </cell>
          <cell r="AA769">
            <v>0</v>
          </cell>
          <cell r="BC769">
            <v>0</v>
          </cell>
          <cell r="BD769">
            <v>0</v>
          </cell>
          <cell r="BE769">
            <v>0</v>
          </cell>
          <cell r="BF769">
            <v>0</v>
          </cell>
          <cell r="BG769">
            <v>0</v>
          </cell>
        </row>
        <row r="770">
          <cell r="B770">
            <v>1600966</v>
          </cell>
          <cell r="C770" t="str">
            <v>SICRO</v>
          </cell>
          <cell r="D770" t="str">
            <v>Remoção de cerca com mourões de concreto</v>
          </cell>
          <cell r="E770" t="str">
            <v>m</v>
          </cell>
          <cell r="F770">
            <v>0.71570928196147099</v>
          </cell>
          <cell r="G770">
            <v>0.71570928196147099</v>
          </cell>
          <cell r="H770">
            <v>0.71570928196147099</v>
          </cell>
          <cell r="I770">
            <v>0</v>
          </cell>
          <cell r="J770">
            <v>0.73696672504378291</v>
          </cell>
          <cell r="K770">
            <v>0.73696672504378291</v>
          </cell>
          <cell r="L770">
            <v>0.73696672504378291</v>
          </cell>
          <cell r="W770">
            <v>0</v>
          </cell>
          <cell r="X770">
            <v>0</v>
          </cell>
          <cell r="Y770">
            <v>0</v>
          </cell>
          <cell r="Z770">
            <v>0</v>
          </cell>
          <cell r="AA770">
            <v>0</v>
          </cell>
          <cell r="BC770">
            <v>0</v>
          </cell>
          <cell r="BD770">
            <v>0</v>
          </cell>
          <cell r="BE770">
            <v>0</v>
          </cell>
          <cell r="BF770">
            <v>0</v>
          </cell>
          <cell r="BG770">
            <v>0</v>
          </cell>
        </row>
        <row r="771">
          <cell r="B771" t="str">
            <v>CPU-36</v>
          </cell>
          <cell r="C771" t="str">
            <v>CPU</v>
          </cell>
          <cell r="D771" t="str">
            <v>Barreira Móvel</v>
          </cell>
          <cell r="E771" t="str">
            <v>m</v>
          </cell>
          <cell r="F771">
            <v>4244.833846153846</v>
          </cell>
          <cell r="G771">
            <v>4244.833846153846</v>
          </cell>
          <cell r="H771">
            <v>4244.833846153846</v>
          </cell>
          <cell r="I771">
            <v>0</v>
          </cell>
          <cell r="J771">
            <v>4244.833846153846</v>
          </cell>
          <cell r="K771">
            <v>4244.833846153846</v>
          </cell>
          <cell r="L771">
            <v>4244.833846153846</v>
          </cell>
          <cell r="W771">
            <v>0</v>
          </cell>
          <cell r="X771">
            <v>0</v>
          </cell>
          <cell r="Y771">
            <v>0</v>
          </cell>
          <cell r="Z771">
            <v>0</v>
          </cell>
          <cell r="AA771">
            <v>0</v>
          </cell>
          <cell r="BC771">
            <v>0</v>
          </cell>
          <cell r="BD771">
            <v>0</v>
          </cell>
          <cell r="BE771">
            <v>0</v>
          </cell>
          <cell r="BF771">
            <v>0</v>
          </cell>
          <cell r="BG771">
            <v>0</v>
          </cell>
        </row>
        <row r="772">
          <cell r="B772">
            <v>1106128</v>
          </cell>
          <cell r="C772" t="str">
            <v>SICRO</v>
          </cell>
          <cell r="D772" t="str">
            <v>Lançamento mecânico de concreto com bomba rebocável com capacidade de 41m³/h</v>
          </cell>
          <cell r="E772" t="str">
            <v>m³</v>
          </cell>
          <cell r="F772">
            <v>6.25</v>
          </cell>
          <cell r="G772">
            <v>6.25</v>
          </cell>
          <cell r="H772">
            <v>6.25</v>
          </cell>
          <cell r="I772">
            <v>0</v>
          </cell>
          <cell r="J772">
            <v>6.62</v>
          </cell>
          <cell r="K772">
            <v>6.62</v>
          </cell>
          <cell r="L772">
            <v>6.62</v>
          </cell>
          <cell r="W772">
            <v>0</v>
          </cell>
          <cell r="X772">
            <v>0</v>
          </cell>
          <cell r="Y772">
            <v>0</v>
          </cell>
          <cell r="Z772">
            <v>0</v>
          </cell>
          <cell r="AA772">
            <v>0</v>
          </cell>
          <cell r="BC772">
            <v>0</v>
          </cell>
          <cell r="BD772">
            <v>0</v>
          </cell>
          <cell r="BE772">
            <v>0</v>
          </cell>
          <cell r="BF772">
            <v>0</v>
          </cell>
          <cell r="BG772">
            <v>0</v>
          </cell>
        </row>
        <row r="773">
          <cell r="B773">
            <v>1100657</v>
          </cell>
          <cell r="C773" t="str">
            <v>SICRO</v>
          </cell>
          <cell r="D773" t="str">
            <v>Adensamento de concreto por vibrador de imersão</v>
          </cell>
          <cell r="E773" t="str">
            <v>m³</v>
          </cell>
          <cell r="F773">
            <v>5.31</v>
          </cell>
          <cell r="G773">
            <v>5.31</v>
          </cell>
          <cell r="H773">
            <v>5.31</v>
          </cell>
          <cell r="I773">
            <v>0</v>
          </cell>
          <cell r="J773">
            <v>5.69</v>
          </cell>
          <cell r="K773">
            <v>5.69</v>
          </cell>
          <cell r="L773">
            <v>5.69</v>
          </cell>
          <cell r="W773">
            <v>0</v>
          </cell>
          <cell r="X773">
            <v>0</v>
          </cell>
          <cell r="Y773">
            <v>0</v>
          </cell>
          <cell r="Z773">
            <v>0</v>
          </cell>
          <cell r="AA773">
            <v>0</v>
          </cell>
          <cell r="BC773">
            <v>0</v>
          </cell>
          <cell r="BD773">
            <v>0</v>
          </cell>
          <cell r="BE773">
            <v>0</v>
          </cell>
          <cell r="BF773">
            <v>0</v>
          </cell>
          <cell r="BG773">
            <v>0</v>
          </cell>
        </row>
        <row r="774">
          <cell r="B774" t="str">
            <v>CPU17</v>
          </cell>
          <cell r="C774">
            <v>0</v>
          </cell>
          <cell r="D774" t="str">
            <v>Cortina Atirantada</v>
          </cell>
          <cell r="E774" t="str">
            <v>m²</v>
          </cell>
          <cell r="F774">
            <v>1813.5317405546475</v>
          </cell>
          <cell r="G774">
            <v>1813.5317405546475</v>
          </cell>
          <cell r="H774">
            <v>1813.5317405546475</v>
          </cell>
          <cell r="I774">
            <v>0</v>
          </cell>
          <cell r="J774">
            <v>1813.5317405546475</v>
          </cell>
          <cell r="K774">
            <v>1813.5317405546475</v>
          </cell>
          <cell r="L774">
            <v>1813.5317405546475</v>
          </cell>
          <cell r="W774">
            <v>0</v>
          </cell>
          <cell r="X774">
            <v>0</v>
          </cell>
          <cell r="Y774">
            <v>0</v>
          </cell>
          <cell r="Z774">
            <v>0</v>
          </cell>
          <cell r="AA774">
            <v>0</v>
          </cell>
          <cell r="BC774">
            <v>0</v>
          </cell>
          <cell r="BD774">
            <v>0</v>
          </cell>
          <cell r="BE774">
            <v>0</v>
          </cell>
          <cell r="BF774">
            <v>0</v>
          </cell>
          <cell r="BG774">
            <v>0</v>
          </cell>
        </row>
        <row r="775">
          <cell r="B775" t="str">
            <v>CPU18</v>
          </cell>
          <cell r="C775">
            <v>0</v>
          </cell>
          <cell r="D775" t="str">
            <v>FORNECIMENTO E IMPLANTAÇÃO P58C - INCLUSIVE FUNDAÇÃO SOLO</v>
          </cell>
          <cell r="E775" t="str">
            <v>un</v>
          </cell>
          <cell r="F775">
            <v>27297.375</v>
          </cell>
          <cell r="G775">
            <v>27297.375</v>
          </cell>
          <cell r="H775">
            <v>27297.375</v>
          </cell>
          <cell r="I775">
            <v>0</v>
          </cell>
          <cell r="J775">
            <v>27297.375</v>
          </cell>
          <cell r="K775">
            <v>27297.375</v>
          </cell>
          <cell r="L775">
            <v>27297.375</v>
          </cell>
          <cell r="W775">
            <v>0</v>
          </cell>
          <cell r="X775">
            <v>0</v>
          </cell>
          <cell r="Y775">
            <v>0</v>
          </cell>
          <cell r="Z775">
            <v>0</v>
          </cell>
          <cell r="AA775">
            <v>0</v>
          </cell>
          <cell r="BC775">
            <v>0</v>
          </cell>
          <cell r="BD775">
            <v>0</v>
          </cell>
          <cell r="BE775">
            <v>0</v>
          </cell>
          <cell r="BF775">
            <v>0</v>
          </cell>
          <cell r="BG775">
            <v>0</v>
          </cell>
        </row>
        <row r="776">
          <cell r="B776" t="str">
            <v>CPU19</v>
          </cell>
          <cell r="C776">
            <v>0</v>
          </cell>
          <cell r="D776" t="str">
            <v>Remanejamento de Torre de Transmissão</v>
          </cell>
          <cell r="E776" t="str">
            <v>un</v>
          </cell>
          <cell r="F776">
            <v>530000</v>
          </cell>
          <cell r="G776">
            <v>530000</v>
          </cell>
          <cell r="H776">
            <v>530000</v>
          </cell>
          <cell r="I776">
            <v>0</v>
          </cell>
          <cell r="J776">
            <v>530000</v>
          </cell>
          <cell r="K776">
            <v>530000</v>
          </cell>
          <cell r="L776">
            <v>530000</v>
          </cell>
          <cell r="W776">
            <v>0</v>
          </cell>
          <cell r="X776">
            <v>0</v>
          </cell>
          <cell r="Y776">
            <v>0</v>
          </cell>
          <cell r="Z776">
            <v>0</v>
          </cell>
          <cell r="AA776">
            <v>0</v>
          </cell>
          <cell r="BC776">
            <v>0</v>
          </cell>
          <cell r="BD776">
            <v>0</v>
          </cell>
          <cell r="BE776">
            <v>0</v>
          </cell>
          <cell r="BF776">
            <v>0</v>
          </cell>
          <cell r="BG776">
            <v>0</v>
          </cell>
        </row>
        <row r="777">
          <cell r="B777">
            <v>94993</v>
          </cell>
          <cell r="C777">
            <v>0</v>
          </cell>
          <cell r="D777" t="str">
            <v>EXECUÇÃO DE PASSEIO (CALÇADA) OU PISO DE CONCRETO COM CONCRETO MOLDADO IN LOCO, USINADO, ACABAMENTO CONVENCIONAL, ESPESSURA 6 CM, ARMADO. AF_07/2016</v>
          </cell>
          <cell r="E777" t="str">
            <v>m²</v>
          </cell>
          <cell r="F777">
            <v>47.17</v>
          </cell>
          <cell r="G777">
            <v>47.17</v>
          </cell>
          <cell r="H777">
            <v>47.17</v>
          </cell>
          <cell r="I777">
            <v>0</v>
          </cell>
          <cell r="J777">
            <v>47.17</v>
          </cell>
          <cell r="K777">
            <v>47.17</v>
          </cell>
          <cell r="L777">
            <v>47.17</v>
          </cell>
          <cell r="W777">
            <v>0</v>
          </cell>
          <cell r="X777">
            <v>0</v>
          </cell>
          <cell r="Y777">
            <v>0</v>
          </cell>
          <cell r="Z777">
            <v>0</v>
          </cell>
          <cell r="AA777">
            <v>0</v>
          </cell>
          <cell r="BC777">
            <v>0</v>
          </cell>
          <cell r="BD777">
            <v>0</v>
          </cell>
          <cell r="BE777">
            <v>0</v>
          </cell>
          <cell r="BF777">
            <v>0</v>
          </cell>
          <cell r="BG777">
            <v>0</v>
          </cell>
        </row>
        <row r="778">
          <cell r="B778">
            <v>5406030</v>
          </cell>
          <cell r="D778" t="str">
            <v>Terra Armada</v>
          </cell>
          <cell r="E778" t="str">
            <v>m²</v>
          </cell>
          <cell r="F778">
            <v>352.3497561370001</v>
          </cell>
          <cell r="G778">
            <v>352.3497561370001</v>
          </cell>
          <cell r="H778">
            <v>352.3497561370001</v>
          </cell>
          <cell r="J778">
            <v>363.95931355700003</v>
          </cell>
          <cell r="K778">
            <v>363.95931355700003</v>
          </cell>
          <cell r="L778">
            <v>363.95931355700003</v>
          </cell>
          <cell r="W778">
            <v>0</v>
          </cell>
          <cell r="X778">
            <v>0</v>
          </cell>
          <cell r="Y778">
            <v>0</v>
          </cell>
          <cell r="Z778">
            <v>0</v>
          </cell>
          <cell r="AA778">
            <v>0</v>
          </cell>
          <cell r="BC778">
            <v>0</v>
          </cell>
          <cell r="BD778">
            <v>0</v>
          </cell>
          <cell r="BE778">
            <v>0</v>
          </cell>
          <cell r="BF778">
            <v>0</v>
          </cell>
          <cell r="BG778">
            <v>0</v>
          </cell>
        </row>
        <row r="779">
          <cell r="B779">
            <v>6817890</v>
          </cell>
          <cell r="D779" t="str">
            <v xml:space="preserve">Corpo BSCC - seção 2,0 x 2,0 m canal - pré-moldado - tipo I - areia extraída e brita produzida </v>
          </cell>
          <cell r="E779" t="str">
            <v>m</v>
          </cell>
          <cell r="F779">
            <v>1194.8663205199998</v>
          </cell>
          <cell r="G779">
            <v>1194.8663205199998</v>
          </cell>
          <cell r="H779">
            <v>1194.8663205199998</v>
          </cell>
          <cell r="J779">
            <v>1225.0478456899998</v>
          </cell>
          <cell r="K779">
            <v>1225.0478456899998</v>
          </cell>
          <cell r="L779">
            <v>1225.0478456899998</v>
          </cell>
          <cell r="W779">
            <v>0</v>
          </cell>
          <cell r="X779">
            <v>0</v>
          </cell>
          <cell r="Y779">
            <v>0</v>
          </cell>
          <cell r="Z779">
            <v>0</v>
          </cell>
          <cell r="AA779">
            <v>0</v>
          </cell>
          <cell r="BC779">
            <v>0</v>
          </cell>
          <cell r="BD779">
            <v>0</v>
          </cell>
          <cell r="BE779">
            <v>0</v>
          </cell>
          <cell r="BF779">
            <v>0</v>
          </cell>
          <cell r="BG779">
            <v>0</v>
          </cell>
        </row>
        <row r="780">
          <cell r="B780">
            <v>804376</v>
          </cell>
          <cell r="D780" t="str">
            <v>Boca BSTC D = 0,60 m - esconsidade 0° - areia extraída e brita produzida - alas esconsas</v>
          </cell>
          <cell r="E780" t="str">
            <v xml:space="preserve">un </v>
          </cell>
          <cell r="F780">
            <v>852.64314999999999</v>
          </cell>
          <cell r="G780">
            <v>852.64314999999999</v>
          </cell>
          <cell r="H780">
            <v>852.64314999999999</v>
          </cell>
          <cell r="J780">
            <v>889.12436000000002</v>
          </cell>
          <cell r="K780">
            <v>889.12436000000002</v>
          </cell>
          <cell r="L780">
            <v>889.12436000000002</v>
          </cell>
          <cell r="W780">
            <v>0</v>
          </cell>
          <cell r="X780">
            <v>0</v>
          </cell>
          <cell r="Y780">
            <v>0</v>
          </cell>
          <cell r="Z780">
            <v>0</v>
          </cell>
          <cell r="AA780">
            <v>0</v>
          </cell>
          <cell r="BC780">
            <v>0</v>
          </cell>
          <cell r="BD780">
            <v>0</v>
          </cell>
          <cell r="BE780">
            <v>0</v>
          </cell>
          <cell r="BF780">
            <v>0</v>
          </cell>
          <cell r="BG780">
            <v>0</v>
          </cell>
        </row>
        <row r="781">
          <cell r="B781">
            <v>6817754</v>
          </cell>
          <cell r="D781" t="str">
            <v>Confecção de BSCC - seção 1,5 x 1,5 m fechada - tipo I - areia extraída e brita produzida</v>
          </cell>
          <cell r="E781" t="str">
            <v xml:space="preserve">un </v>
          </cell>
          <cell r="F781">
            <v>773.70817554818962</v>
          </cell>
          <cell r="G781">
            <v>773.70817554818962</v>
          </cell>
          <cell r="H781">
            <v>773.70817554818962</v>
          </cell>
          <cell r="J781">
            <v>794.657260980724</v>
          </cell>
          <cell r="K781">
            <v>794.657260980724</v>
          </cell>
          <cell r="L781">
            <v>794.657260980724</v>
          </cell>
          <cell r="W781">
            <v>0</v>
          </cell>
          <cell r="X781">
            <v>0</v>
          </cell>
          <cell r="Y781">
            <v>0</v>
          </cell>
          <cell r="Z781">
            <v>0</v>
          </cell>
          <cell r="AA781">
            <v>0</v>
          </cell>
          <cell r="BC781">
            <v>0</v>
          </cell>
          <cell r="BD781">
            <v>0</v>
          </cell>
          <cell r="BE781">
            <v>0</v>
          </cell>
          <cell r="BF781">
            <v>0</v>
          </cell>
          <cell r="BG781">
            <v>0</v>
          </cell>
        </row>
        <row r="782">
          <cell r="B782">
            <v>804464</v>
          </cell>
          <cell r="D782" t="str">
            <v xml:space="preserve">Confecção de tubos de concreto armado D = 0,60 m CA-1 - areia extraída e brita produzida </v>
          </cell>
          <cell r="E782" t="str">
            <v>m</v>
          </cell>
          <cell r="F782">
            <v>79.519566817269066</v>
          </cell>
          <cell r="G782">
            <v>79.519566817269066</v>
          </cell>
          <cell r="H782">
            <v>79.519566817269066</v>
          </cell>
          <cell r="J782">
            <v>82.075348867469884</v>
          </cell>
          <cell r="K782">
            <v>82.075348867469884</v>
          </cell>
          <cell r="L782">
            <v>82.075348867469884</v>
          </cell>
          <cell r="W782">
            <v>0</v>
          </cell>
          <cell r="X782">
            <v>0</v>
          </cell>
          <cell r="Y782">
            <v>0</v>
          </cell>
          <cell r="Z782">
            <v>0</v>
          </cell>
          <cell r="AA782">
            <v>0</v>
          </cell>
          <cell r="BC782">
            <v>0</v>
          </cell>
          <cell r="BD782">
            <v>0</v>
          </cell>
          <cell r="BE782">
            <v>0</v>
          </cell>
          <cell r="BF782">
            <v>0</v>
          </cell>
          <cell r="BG782">
            <v>0</v>
          </cell>
        </row>
        <row r="783">
          <cell r="B783">
            <v>804466</v>
          </cell>
          <cell r="D783" t="str">
            <v>Confecção de tubos de concreto armado D = 0,80 m CA-1 - areia extraída e brita produzida</v>
          </cell>
          <cell r="E783" t="str">
            <v>m</v>
          </cell>
          <cell r="F783">
            <v>119.09647537779492</v>
          </cell>
          <cell r="G783">
            <v>119.09647537779492</v>
          </cell>
          <cell r="H783">
            <v>119.09647537779492</v>
          </cell>
          <cell r="J783">
            <v>122.91247582575174</v>
          </cell>
          <cell r="K783">
            <v>122.91247582575174</v>
          </cell>
          <cell r="L783">
            <v>122.91247582575174</v>
          </cell>
          <cell r="W783">
            <v>0</v>
          </cell>
          <cell r="X783">
            <v>0</v>
          </cell>
          <cell r="Y783">
            <v>0</v>
          </cell>
          <cell r="Z783">
            <v>0</v>
          </cell>
          <cell r="AA783">
            <v>0</v>
          </cell>
          <cell r="BC783">
            <v>0</v>
          </cell>
          <cell r="BD783">
            <v>0</v>
          </cell>
          <cell r="BE783">
            <v>0</v>
          </cell>
          <cell r="BF783">
            <v>0</v>
          </cell>
          <cell r="BG783">
            <v>0</v>
          </cell>
        </row>
        <row r="784">
          <cell r="B784">
            <v>804468</v>
          </cell>
          <cell r="D784" t="str">
            <v>Confecção de tubos de concreto armado D = 1,00 m CA-1 - areia extraída e brita produzida</v>
          </cell>
          <cell r="E784" t="str">
            <v>m</v>
          </cell>
          <cell r="F784">
            <v>209.76001746385543</v>
          </cell>
          <cell r="G784">
            <v>209.76001746385543</v>
          </cell>
          <cell r="H784">
            <v>209.76001746385543</v>
          </cell>
          <cell r="J784">
            <v>216.79928188915665</v>
          </cell>
          <cell r="K784">
            <v>216.79928188915665</v>
          </cell>
          <cell r="L784">
            <v>216.79928188915665</v>
          </cell>
          <cell r="W784">
            <v>0</v>
          </cell>
          <cell r="X784">
            <v>0</v>
          </cell>
          <cell r="Y784">
            <v>0</v>
          </cell>
          <cell r="Z784">
            <v>0</v>
          </cell>
          <cell r="AA784">
            <v>0</v>
          </cell>
          <cell r="BC784">
            <v>0</v>
          </cell>
          <cell r="BD784">
            <v>0</v>
          </cell>
          <cell r="BE784">
            <v>0</v>
          </cell>
          <cell r="BF784">
            <v>0</v>
          </cell>
          <cell r="BG784">
            <v>0</v>
          </cell>
        </row>
        <row r="785">
          <cell r="B785">
            <v>804470</v>
          </cell>
          <cell r="D785" t="str">
            <v>Confecção de tubos de concreto armado D = 1,20 m CA-1 - areia extraída e brita produzida</v>
          </cell>
          <cell r="E785" t="str">
            <v>m</v>
          </cell>
          <cell r="F785">
            <v>284.06705146113075</v>
          </cell>
          <cell r="G785">
            <v>284.06705146113075</v>
          </cell>
          <cell r="H785">
            <v>284.06705146113075</v>
          </cell>
          <cell r="J785">
            <v>293.50697524008996</v>
          </cell>
          <cell r="K785">
            <v>293.50697524008996</v>
          </cell>
          <cell r="L785">
            <v>293.50697524008996</v>
          </cell>
          <cell r="W785">
            <v>0</v>
          </cell>
          <cell r="X785">
            <v>0</v>
          </cell>
          <cell r="Y785">
            <v>0</v>
          </cell>
          <cell r="Z785">
            <v>0</v>
          </cell>
          <cell r="AA785">
            <v>0</v>
          </cell>
          <cell r="BC785">
            <v>0</v>
          </cell>
          <cell r="BD785">
            <v>0</v>
          </cell>
          <cell r="BE785">
            <v>0</v>
          </cell>
          <cell r="BF785">
            <v>0</v>
          </cell>
          <cell r="BG785">
            <v>0</v>
          </cell>
        </row>
        <row r="786">
          <cell r="B786">
            <v>804472</v>
          </cell>
          <cell r="D786" t="str">
            <v>Confecção de tubos de concreto armado D = 1,50 m CA-1 - areia extraída e brita produzida</v>
          </cell>
          <cell r="E786" t="str">
            <v>m</v>
          </cell>
          <cell r="F786">
            <v>459.70371098192766</v>
          </cell>
          <cell r="G786">
            <v>459.70371098192766</v>
          </cell>
          <cell r="H786">
            <v>459.70371098192766</v>
          </cell>
          <cell r="J786">
            <v>475.06304883855421</v>
          </cell>
          <cell r="K786">
            <v>475.06304883855421</v>
          </cell>
          <cell r="L786">
            <v>475.06304883855421</v>
          </cell>
          <cell r="W786">
            <v>0</v>
          </cell>
          <cell r="X786">
            <v>0</v>
          </cell>
          <cell r="Y786">
            <v>0</v>
          </cell>
          <cell r="Z786">
            <v>0</v>
          </cell>
          <cell r="AA786">
            <v>0</v>
          </cell>
          <cell r="BC786">
            <v>0</v>
          </cell>
          <cell r="BD786">
            <v>0</v>
          </cell>
          <cell r="BE786">
            <v>0</v>
          </cell>
          <cell r="BF786">
            <v>0</v>
          </cell>
          <cell r="BG786">
            <v>0</v>
          </cell>
        </row>
        <row r="787">
          <cell r="B787" t="str">
            <v>CPU110</v>
          </cell>
          <cell r="C787">
            <v>0</v>
          </cell>
          <cell r="D787" t="str">
            <v>Solo Grampeado</v>
          </cell>
          <cell r="E787" t="str">
            <v>m²</v>
          </cell>
          <cell r="F787">
            <v>842.7975260918829</v>
          </cell>
          <cell r="G787">
            <v>842.7975260918829</v>
          </cell>
          <cell r="H787">
            <v>842.7975260918829</v>
          </cell>
          <cell r="I787">
            <v>0</v>
          </cell>
          <cell r="J787">
            <v>842.7975260918829</v>
          </cell>
          <cell r="K787">
            <v>842.7975260918829</v>
          </cell>
          <cell r="L787">
            <v>842.7975260918829</v>
          </cell>
          <cell r="W787">
            <v>0</v>
          </cell>
          <cell r="X787">
            <v>0</v>
          </cell>
          <cell r="Y787">
            <v>0</v>
          </cell>
          <cell r="Z787">
            <v>0</v>
          </cell>
          <cell r="AA787">
            <v>0</v>
          </cell>
          <cell r="BC787">
            <v>0</v>
          </cell>
          <cell r="BD787">
            <v>0</v>
          </cell>
          <cell r="BE787">
            <v>0</v>
          </cell>
          <cell r="BF787">
            <v>0</v>
          </cell>
          <cell r="BG787">
            <v>0</v>
          </cell>
        </row>
        <row r="788">
          <cell r="B788" t="str">
            <v>CPU111</v>
          </cell>
          <cell r="C788">
            <v>0</v>
          </cell>
          <cell r="D788" t="str">
            <v>Cortina Atirantada</v>
          </cell>
          <cell r="E788" t="str">
            <v>m²</v>
          </cell>
          <cell r="F788">
            <v>1680.2941606460331</v>
          </cell>
          <cell r="G788">
            <v>1680.2941606460331</v>
          </cell>
          <cell r="H788">
            <v>1680.2941606460331</v>
          </cell>
          <cell r="I788">
            <v>0</v>
          </cell>
          <cell r="J788">
            <v>1680.2941606460331</v>
          </cell>
          <cell r="K788">
            <v>1680.2941606460331</v>
          </cell>
          <cell r="L788">
            <v>1680.2941606460331</v>
          </cell>
          <cell r="W788">
            <v>0</v>
          </cell>
          <cell r="X788">
            <v>0</v>
          </cell>
          <cell r="Y788">
            <v>0</v>
          </cell>
          <cell r="Z788">
            <v>0</v>
          </cell>
          <cell r="AA788">
            <v>0</v>
          </cell>
          <cell r="BC788">
            <v>0</v>
          </cell>
          <cell r="BD788">
            <v>0</v>
          </cell>
          <cell r="BE788">
            <v>0</v>
          </cell>
          <cell r="BF788">
            <v>0</v>
          </cell>
          <cell r="BG788">
            <v>0</v>
          </cell>
        </row>
        <row r="789">
          <cell r="B789" t="str">
            <v>CPU112</v>
          </cell>
          <cell r="C789">
            <v>0</v>
          </cell>
          <cell r="D789" t="str">
            <v>Demolição de muro atirantado</v>
          </cell>
          <cell r="E789" t="str">
            <v>m²</v>
          </cell>
          <cell r="F789">
            <v>0</v>
          </cell>
          <cell r="G789">
            <v>0</v>
          </cell>
          <cell r="H789">
            <v>0</v>
          </cell>
          <cell r="I789">
            <v>0</v>
          </cell>
          <cell r="J789">
            <v>0</v>
          </cell>
          <cell r="K789">
            <v>0</v>
          </cell>
          <cell r="L789">
            <v>0</v>
          </cell>
          <cell r="W789">
            <v>0</v>
          </cell>
          <cell r="X789">
            <v>0</v>
          </cell>
          <cell r="Y789">
            <v>0</v>
          </cell>
          <cell r="Z789">
            <v>0</v>
          </cell>
          <cell r="AA789">
            <v>0</v>
          </cell>
          <cell r="BC789">
            <v>0</v>
          </cell>
          <cell r="BD789">
            <v>0</v>
          </cell>
          <cell r="BE789">
            <v>0</v>
          </cell>
          <cell r="BF789">
            <v>0</v>
          </cell>
          <cell r="BG789">
            <v>0</v>
          </cell>
        </row>
        <row r="790">
          <cell r="B790" t="str">
            <v>CPU113</v>
          </cell>
          <cell r="C790">
            <v>0</v>
          </cell>
          <cell r="D790" t="str">
            <v>Demolição de muro de concreto</v>
          </cell>
          <cell r="E790" t="str">
            <v>m²</v>
          </cell>
          <cell r="F790">
            <v>0</v>
          </cell>
          <cell r="G790">
            <v>0</v>
          </cell>
          <cell r="H790">
            <v>0</v>
          </cell>
          <cell r="I790">
            <v>0</v>
          </cell>
          <cell r="J790">
            <v>0</v>
          </cell>
          <cell r="K790">
            <v>0</v>
          </cell>
          <cell r="L790">
            <v>0</v>
          </cell>
          <cell r="W790">
            <v>0</v>
          </cell>
          <cell r="X790">
            <v>0</v>
          </cell>
          <cell r="Y790">
            <v>0</v>
          </cell>
          <cell r="Z790">
            <v>0</v>
          </cell>
          <cell r="AA790">
            <v>0</v>
          </cell>
          <cell r="BC790">
            <v>0</v>
          </cell>
          <cell r="BD790">
            <v>0</v>
          </cell>
          <cell r="BE790">
            <v>0</v>
          </cell>
          <cell r="BF790">
            <v>0</v>
          </cell>
          <cell r="BG790">
            <v>0</v>
          </cell>
        </row>
        <row r="791">
          <cell r="B791" t="str">
            <v>CPU114</v>
          </cell>
          <cell r="C791">
            <v>0</v>
          </cell>
          <cell r="D791" t="str">
            <v>Muro de escama de concreto armado em solo reforçado com fita metálica com altura de 6,0 a 8 m - tipo 1 - areia e brita comerciais</v>
          </cell>
          <cell r="E791" t="str">
            <v>m²</v>
          </cell>
          <cell r="F791">
            <v>753.32</v>
          </cell>
          <cell r="G791">
            <v>753.32</v>
          </cell>
          <cell r="H791">
            <v>753.32</v>
          </cell>
          <cell r="I791">
            <v>0</v>
          </cell>
          <cell r="J791">
            <v>753.32</v>
          </cell>
          <cell r="K791">
            <v>753.32</v>
          </cell>
          <cell r="L791">
            <v>753.32</v>
          </cell>
          <cell r="W791">
            <v>0</v>
          </cell>
          <cell r="X791">
            <v>0</v>
          </cell>
          <cell r="Y791">
            <v>0</v>
          </cell>
          <cell r="Z791">
            <v>0</v>
          </cell>
          <cell r="AA791">
            <v>0</v>
          </cell>
          <cell r="BC791">
            <v>0</v>
          </cell>
          <cell r="BD791">
            <v>0</v>
          </cell>
          <cell r="BE791">
            <v>0</v>
          </cell>
          <cell r="BF791">
            <v>0</v>
          </cell>
          <cell r="BG791">
            <v>0</v>
          </cell>
        </row>
        <row r="792">
          <cell r="B792">
            <v>4915694</v>
          </cell>
          <cell r="D792" t="str">
            <v>Limpeza, serragem e enchimento de trincas em pavimento de concreto com selante elástico a frio</v>
          </cell>
          <cell r="E792" t="str">
            <v>m</v>
          </cell>
          <cell r="F792">
            <v>7.3</v>
          </cell>
          <cell r="G792">
            <v>7.3</v>
          </cell>
          <cell r="H792">
            <v>7.3</v>
          </cell>
          <cell r="J792">
            <v>9.08</v>
          </cell>
          <cell r="K792">
            <v>9.08</v>
          </cell>
          <cell r="L792">
            <v>9.08</v>
          </cell>
          <cell r="W792">
            <v>0</v>
          </cell>
          <cell r="X792">
            <v>0</v>
          </cell>
          <cell r="Y792">
            <v>0</v>
          </cell>
          <cell r="Z792">
            <v>0</v>
          </cell>
          <cell r="AA792">
            <v>0</v>
          </cell>
          <cell r="BC792">
            <v>0</v>
          </cell>
          <cell r="BD792">
            <v>0</v>
          </cell>
          <cell r="BE792">
            <v>0</v>
          </cell>
          <cell r="BF792">
            <v>0</v>
          </cell>
          <cell r="BG792">
            <v>0</v>
          </cell>
        </row>
        <row r="793">
          <cell r="E793">
            <v>0</v>
          </cell>
          <cell r="W793">
            <v>0</v>
          </cell>
          <cell r="X793">
            <v>0</v>
          </cell>
          <cell r="Y793">
            <v>0</v>
          </cell>
          <cell r="Z793">
            <v>0</v>
          </cell>
          <cell r="AA793">
            <v>0</v>
          </cell>
          <cell r="BC793">
            <v>0</v>
          </cell>
          <cell r="BD793">
            <v>0</v>
          </cell>
          <cell r="BE793">
            <v>0</v>
          </cell>
          <cell r="BF793">
            <v>0</v>
          </cell>
          <cell r="BG793">
            <v>0</v>
          </cell>
        </row>
        <row r="794">
          <cell r="E794">
            <v>0</v>
          </cell>
          <cell r="W794">
            <v>0</v>
          </cell>
          <cell r="X794">
            <v>0</v>
          </cell>
          <cell r="Y794">
            <v>0</v>
          </cell>
          <cell r="Z794">
            <v>0</v>
          </cell>
          <cell r="AA794">
            <v>0</v>
          </cell>
          <cell r="BC794">
            <v>0</v>
          </cell>
          <cell r="BD794">
            <v>0</v>
          </cell>
          <cell r="BE794">
            <v>0</v>
          </cell>
          <cell r="BF794">
            <v>0</v>
          </cell>
          <cell r="BG794">
            <v>0</v>
          </cell>
        </row>
        <row r="795">
          <cell r="E795">
            <v>0</v>
          </cell>
          <cell r="W795">
            <v>0</v>
          </cell>
          <cell r="X795">
            <v>0</v>
          </cell>
          <cell r="Y795">
            <v>0</v>
          </cell>
          <cell r="Z795">
            <v>0</v>
          </cell>
          <cell r="AA795">
            <v>0</v>
          </cell>
          <cell r="BC795">
            <v>0</v>
          </cell>
          <cell r="BD795">
            <v>0</v>
          </cell>
          <cell r="BE795">
            <v>0</v>
          </cell>
          <cell r="BF795">
            <v>0</v>
          </cell>
          <cell r="BG795">
            <v>0</v>
          </cell>
        </row>
        <row r="796">
          <cell r="E796">
            <v>0</v>
          </cell>
          <cell r="W796">
            <v>0</v>
          </cell>
          <cell r="X796">
            <v>0</v>
          </cell>
          <cell r="Y796">
            <v>0</v>
          </cell>
          <cell r="Z796">
            <v>0</v>
          </cell>
          <cell r="AA796">
            <v>0</v>
          </cell>
          <cell r="BC796">
            <v>0</v>
          </cell>
          <cell r="BD796">
            <v>0</v>
          </cell>
          <cell r="BE796">
            <v>0</v>
          </cell>
          <cell r="BF796">
            <v>0</v>
          </cell>
          <cell r="BG796">
            <v>0</v>
          </cell>
        </row>
        <row r="797">
          <cell r="E797">
            <v>0</v>
          </cell>
          <cell r="W797">
            <v>0</v>
          </cell>
          <cell r="X797">
            <v>0</v>
          </cell>
          <cell r="Y797">
            <v>0</v>
          </cell>
          <cell r="Z797">
            <v>0</v>
          </cell>
          <cell r="AA797">
            <v>0</v>
          </cell>
          <cell r="BC797">
            <v>0</v>
          </cell>
          <cell r="BD797">
            <v>0</v>
          </cell>
          <cell r="BE797">
            <v>0</v>
          </cell>
          <cell r="BF797">
            <v>0</v>
          </cell>
          <cell r="BG797">
            <v>0</v>
          </cell>
        </row>
        <row r="798">
          <cell r="E798">
            <v>0</v>
          </cell>
          <cell r="W798">
            <v>0</v>
          </cell>
          <cell r="X798">
            <v>0</v>
          </cell>
          <cell r="Y798">
            <v>0</v>
          </cell>
          <cell r="Z798">
            <v>0</v>
          </cell>
          <cell r="AA798">
            <v>0</v>
          </cell>
          <cell r="BC798">
            <v>0</v>
          </cell>
          <cell r="BD798">
            <v>0</v>
          </cell>
          <cell r="BE798">
            <v>0</v>
          </cell>
          <cell r="BF798">
            <v>0</v>
          </cell>
          <cell r="BG798">
            <v>0</v>
          </cell>
        </row>
        <row r="799">
          <cell r="E799">
            <v>0</v>
          </cell>
          <cell r="W799">
            <v>0</v>
          </cell>
          <cell r="X799">
            <v>0</v>
          </cell>
          <cell r="Y799">
            <v>0</v>
          </cell>
          <cell r="Z799">
            <v>0</v>
          </cell>
          <cell r="AA799">
            <v>0</v>
          </cell>
          <cell r="BC799">
            <v>0</v>
          </cell>
          <cell r="BD799">
            <v>0</v>
          </cell>
          <cell r="BE799">
            <v>0</v>
          </cell>
          <cell r="BF799">
            <v>0</v>
          </cell>
          <cell r="BG799">
            <v>0</v>
          </cell>
        </row>
        <row r="800">
          <cell r="E800">
            <v>0</v>
          </cell>
          <cell r="W800">
            <v>0</v>
          </cell>
          <cell r="X800">
            <v>0</v>
          </cell>
          <cell r="Y800">
            <v>0</v>
          </cell>
          <cell r="Z800">
            <v>0</v>
          </cell>
          <cell r="AA800">
            <v>0</v>
          </cell>
          <cell r="BC800">
            <v>0</v>
          </cell>
          <cell r="BD800">
            <v>0</v>
          </cell>
          <cell r="BE800">
            <v>0</v>
          </cell>
          <cell r="BF800">
            <v>0</v>
          </cell>
          <cell r="BG800">
            <v>0</v>
          </cell>
        </row>
        <row r="801">
          <cell r="E801">
            <v>0</v>
          </cell>
          <cell r="W801">
            <v>0</v>
          </cell>
          <cell r="X801">
            <v>0</v>
          </cell>
          <cell r="Y801">
            <v>0</v>
          </cell>
          <cell r="Z801">
            <v>0</v>
          </cell>
          <cell r="AA801">
            <v>0</v>
          </cell>
          <cell r="BC801">
            <v>0</v>
          </cell>
          <cell r="BD801">
            <v>0</v>
          </cell>
          <cell r="BE801">
            <v>0</v>
          </cell>
          <cell r="BF801">
            <v>0</v>
          </cell>
          <cell r="BG801">
            <v>0</v>
          </cell>
        </row>
        <row r="802">
          <cell r="E802">
            <v>0</v>
          </cell>
          <cell r="W802">
            <v>0</v>
          </cell>
          <cell r="X802">
            <v>0</v>
          </cell>
          <cell r="Y802">
            <v>0</v>
          </cell>
          <cell r="Z802">
            <v>0</v>
          </cell>
          <cell r="AA802">
            <v>0</v>
          </cell>
          <cell r="BC802">
            <v>0</v>
          </cell>
          <cell r="BD802">
            <v>0</v>
          </cell>
          <cell r="BE802">
            <v>0</v>
          </cell>
          <cell r="BF802">
            <v>0</v>
          </cell>
          <cell r="BG802">
            <v>0</v>
          </cell>
        </row>
        <row r="803">
          <cell r="E803">
            <v>0</v>
          </cell>
          <cell r="W803">
            <v>0</v>
          </cell>
          <cell r="X803">
            <v>0</v>
          </cell>
          <cell r="Y803">
            <v>0</v>
          </cell>
          <cell r="Z803">
            <v>0</v>
          </cell>
          <cell r="AA803">
            <v>0</v>
          </cell>
          <cell r="BC803">
            <v>0</v>
          </cell>
          <cell r="BD803">
            <v>0</v>
          </cell>
          <cell r="BE803">
            <v>0</v>
          </cell>
          <cell r="BF803">
            <v>0</v>
          </cell>
          <cell r="BG803">
            <v>0</v>
          </cell>
        </row>
        <row r="804">
          <cell r="E804">
            <v>0</v>
          </cell>
          <cell r="W804">
            <v>0</v>
          </cell>
          <cell r="X804">
            <v>0</v>
          </cell>
          <cell r="Y804">
            <v>0</v>
          </cell>
          <cell r="Z804">
            <v>0</v>
          </cell>
          <cell r="AA804">
            <v>0</v>
          </cell>
          <cell r="BC804">
            <v>0</v>
          </cell>
          <cell r="BD804">
            <v>0</v>
          </cell>
          <cell r="BE804">
            <v>0</v>
          </cell>
          <cell r="BF804">
            <v>0</v>
          </cell>
          <cell r="BG804">
            <v>0</v>
          </cell>
        </row>
        <row r="805">
          <cell r="E805">
            <v>0</v>
          </cell>
          <cell r="W805">
            <v>0</v>
          </cell>
          <cell r="X805">
            <v>0</v>
          </cell>
          <cell r="Y805">
            <v>0</v>
          </cell>
          <cell r="Z805">
            <v>0</v>
          </cell>
          <cell r="AA805">
            <v>0</v>
          </cell>
          <cell r="BC805">
            <v>0</v>
          </cell>
          <cell r="BD805">
            <v>0</v>
          </cell>
          <cell r="BE805">
            <v>0</v>
          </cell>
          <cell r="BF805">
            <v>0</v>
          </cell>
          <cell r="BG805">
            <v>0</v>
          </cell>
        </row>
        <row r="806">
          <cell r="E806">
            <v>0</v>
          </cell>
          <cell r="W806">
            <v>0</v>
          </cell>
          <cell r="X806">
            <v>0</v>
          </cell>
          <cell r="Y806">
            <v>0</v>
          </cell>
          <cell r="Z806">
            <v>0</v>
          </cell>
          <cell r="AA806">
            <v>0</v>
          </cell>
          <cell r="BC806">
            <v>0</v>
          </cell>
          <cell r="BD806">
            <v>0</v>
          </cell>
          <cell r="BE806">
            <v>0</v>
          </cell>
          <cell r="BF806">
            <v>0</v>
          </cell>
          <cell r="BG806">
            <v>0</v>
          </cell>
        </row>
        <row r="807">
          <cell r="E807">
            <v>0</v>
          </cell>
          <cell r="W807">
            <v>0</v>
          </cell>
          <cell r="X807">
            <v>0</v>
          </cell>
          <cell r="Y807">
            <v>0</v>
          </cell>
          <cell r="Z807">
            <v>0</v>
          </cell>
          <cell r="AA807">
            <v>0</v>
          </cell>
          <cell r="BC807">
            <v>0</v>
          </cell>
          <cell r="BD807">
            <v>0</v>
          </cell>
          <cell r="BE807">
            <v>0</v>
          </cell>
          <cell r="BF807">
            <v>0</v>
          </cell>
          <cell r="BG807">
            <v>0</v>
          </cell>
        </row>
        <row r="808">
          <cell r="E808">
            <v>0</v>
          </cell>
          <cell r="W808">
            <v>0</v>
          </cell>
          <cell r="X808">
            <v>0</v>
          </cell>
          <cell r="Y808">
            <v>0</v>
          </cell>
          <cell r="Z808">
            <v>0</v>
          </cell>
          <cell r="AA808">
            <v>0</v>
          </cell>
          <cell r="BC808">
            <v>0</v>
          </cell>
          <cell r="BD808">
            <v>0</v>
          </cell>
          <cell r="BE808">
            <v>0</v>
          </cell>
          <cell r="BF808">
            <v>0</v>
          </cell>
          <cell r="BG808">
            <v>0</v>
          </cell>
        </row>
        <row r="809">
          <cell r="E809">
            <v>0</v>
          </cell>
          <cell r="W809">
            <v>0</v>
          </cell>
          <cell r="X809">
            <v>0</v>
          </cell>
          <cell r="Y809">
            <v>0</v>
          </cell>
          <cell r="Z809">
            <v>0</v>
          </cell>
          <cell r="AA809">
            <v>0</v>
          </cell>
          <cell r="BC809">
            <v>0</v>
          </cell>
          <cell r="BD809">
            <v>0</v>
          </cell>
          <cell r="BE809">
            <v>0</v>
          </cell>
          <cell r="BF809">
            <v>0</v>
          </cell>
          <cell r="BG809">
            <v>0</v>
          </cell>
        </row>
        <row r="810">
          <cell r="E810">
            <v>0</v>
          </cell>
          <cell r="W810">
            <v>0</v>
          </cell>
          <cell r="X810">
            <v>0</v>
          </cell>
          <cell r="Y810">
            <v>0</v>
          </cell>
          <cell r="Z810">
            <v>0</v>
          </cell>
          <cell r="AA810">
            <v>0</v>
          </cell>
          <cell r="BC810">
            <v>0</v>
          </cell>
          <cell r="BD810">
            <v>0</v>
          </cell>
          <cell r="BE810">
            <v>0</v>
          </cell>
          <cell r="BF810">
            <v>0</v>
          </cell>
          <cell r="BG810">
            <v>0</v>
          </cell>
        </row>
        <row r="811">
          <cell r="E811">
            <v>0</v>
          </cell>
          <cell r="W811">
            <v>0</v>
          </cell>
          <cell r="X811">
            <v>0</v>
          </cell>
          <cell r="Y811">
            <v>0</v>
          </cell>
          <cell r="Z811">
            <v>0</v>
          </cell>
          <cell r="AA811">
            <v>0</v>
          </cell>
          <cell r="BC811">
            <v>0</v>
          </cell>
          <cell r="BD811">
            <v>0</v>
          </cell>
          <cell r="BE811">
            <v>0</v>
          </cell>
          <cell r="BF811">
            <v>0</v>
          </cell>
          <cell r="BG811">
            <v>0</v>
          </cell>
        </row>
        <row r="812">
          <cell r="E812">
            <v>0</v>
          </cell>
          <cell r="W812">
            <v>0</v>
          </cell>
          <cell r="X812">
            <v>0</v>
          </cell>
          <cell r="Y812">
            <v>0</v>
          </cell>
          <cell r="Z812">
            <v>0</v>
          </cell>
          <cell r="AA812">
            <v>0</v>
          </cell>
          <cell r="BC812">
            <v>0</v>
          </cell>
          <cell r="BD812">
            <v>0</v>
          </cell>
          <cell r="BE812">
            <v>0</v>
          </cell>
          <cell r="BF812">
            <v>0</v>
          </cell>
          <cell r="BG812">
            <v>0</v>
          </cell>
        </row>
        <row r="813">
          <cell r="E813">
            <v>0</v>
          </cell>
          <cell r="W813">
            <v>0</v>
          </cell>
          <cell r="X813">
            <v>0</v>
          </cell>
          <cell r="Y813">
            <v>0</v>
          </cell>
          <cell r="Z813">
            <v>0</v>
          </cell>
          <cell r="AA813">
            <v>0</v>
          </cell>
          <cell r="BC813">
            <v>0</v>
          </cell>
          <cell r="BD813">
            <v>0</v>
          </cell>
          <cell r="BE813">
            <v>0</v>
          </cell>
          <cell r="BF813">
            <v>0</v>
          </cell>
          <cell r="BG813">
            <v>0</v>
          </cell>
        </row>
        <row r="814">
          <cell r="E814">
            <v>0</v>
          </cell>
          <cell r="W814">
            <v>0</v>
          </cell>
          <cell r="X814">
            <v>0</v>
          </cell>
          <cell r="Y814">
            <v>0</v>
          </cell>
          <cell r="Z814">
            <v>0</v>
          </cell>
          <cell r="AA814">
            <v>0</v>
          </cell>
          <cell r="BC814">
            <v>0</v>
          </cell>
          <cell r="BD814">
            <v>0</v>
          </cell>
          <cell r="BE814">
            <v>0</v>
          </cell>
          <cell r="BF814">
            <v>0</v>
          </cell>
          <cell r="BG814">
            <v>0</v>
          </cell>
        </row>
        <row r="815">
          <cell r="E815">
            <v>0</v>
          </cell>
          <cell r="W815">
            <v>0</v>
          </cell>
          <cell r="X815">
            <v>0</v>
          </cell>
          <cell r="Y815">
            <v>0</v>
          </cell>
          <cell r="Z815">
            <v>0</v>
          </cell>
          <cell r="AA815">
            <v>0</v>
          </cell>
          <cell r="BC815">
            <v>0</v>
          </cell>
          <cell r="BD815">
            <v>0</v>
          </cell>
          <cell r="BE815">
            <v>0</v>
          </cell>
          <cell r="BF815">
            <v>0</v>
          </cell>
          <cell r="BG815">
            <v>0</v>
          </cell>
        </row>
        <row r="816">
          <cell r="E816">
            <v>0</v>
          </cell>
          <cell r="W816">
            <v>0</v>
          </cell>
          <cell r="X816">
            <v>0</v>
          </cell>
          <cell r="Y816">
            <v>0</v>
          </cell>
          <cell r="Z816">
            <v>0</v>
          </cell>
          <cell r="AA816">
            <v>0</v>
          </cell>
          <cell r="BC816">
            <v>0</v>
          </cell>
          <cell r="BD816">
            <v>0</v>
          </cell>
          <cell r="BE816">
            <v>0</v>
          </cell>
          <cell r="BF816">
            <v>0</v>
          </cell>
          <cell r="BG816">
            <v>0</v>
          </cell>
        </row>
        <row r="817">
          <cell r="E817">
            <v>0</v>
          </cell>
          <cell r="W817">
            <v>0</v>
          </cell>
          <cell r="X817">
            <v>0</v>
          </cell>
          <cell r="Y817">
            <v>0</v>
          </cell>
          <cell r="Z817">
            <v>0</v>
          </cell>
          <cell r="AA817">
            <v>0</v>
          </cell>
          <cell r="BC817">
            <v>0</v>
          </cell>
          <cell r="BD817">
            <v>0</v>
          </cell>
          <cell r="BE817">
            <v>0</v>
          </cell>
          <cell r="BF817">
            <v>0</v>
          </cell>
          <cell r="BG817">
            <v>0</v>
          </cell>
        </row>
        <row r="818">
          <cell r="E818">
            <v>0</v>
          </cell>
          <cell r="W818">
            <v>0</v>
          </cell>
          <cell r="X818">
            <v>0</v>
          </cell>
          <cell r="Y818">
            <v>0</v>
          </cell>
          <cell r="Z818">
            <v>0</v>
          </cell>
          <cell r="AA818">
            <v>0</v>
          </cell>
          <cell r="BC818">
            <v>0</v>
          </cell>
          <cell r="BD818">
            <v>0</v>
          </cell>
          <cell r="BE818">
            <v>0</v>
          </cell>
          <cell r="BF818">
            <v>0</v>
          </cell>
          <cell r="BG818">
            <v>0</v>
          </cell>
        </row>
        <row r="819">
          <cell r="E819">
            <v>0</v>
          </cell>
          <cell r="W819">
            <v>0</v>
          </cell>
          <cell r="X819">
            <v>0</v>
          </cell>
          <cell r="Y819">
            <v>0</v>
          </cell>
          <cell r="Z819">
            <v>0</v>
          </cell>
          <cell r="AA819">
            <v>0</v>
          </cell>
          <cell r="BC819">
            <v>0</v>
          </cell>
          <cell r="BD819">
            <v>0</v>
          </cell>
          <cell r="BE819">
            <v>0</v>
          </cell>
          <cell r="BF819">
            <v>0</v>
          </cell>
          <cell r="BG819">
            <v>0</v>
          </cell>
        </row>
        <row r="820">
          <cell r="E820">
            <v>0</v>
          </cell>
          <cell r="W820">
            <v>0</v>
          </cell>
          <cell r="X820">
            <v>0</v>
          </cell>
          <cell r="Y820">
            <v>0</v>
          </cell>
          <cell r="Z820">
            <v>0</v>
          </cell>
          <cell r="AA820">
            <v>0</v>
          </cell>
          <cell r="BC820">
            <v>0</v>
          </cell>
          <cell r="BD820">
            <v>0</v>
          </cell>
          <cell r="BE820">
            <v>0</v>
          </cell>
          <cell r="BF820">
            <v>0</v>
          </cell>
          <cell r="BG820">
            <v>0</v>
          </cell>
        </row>
        <row r="821">
          <cell r="E821">
            <v>0</v>
          </cell>
          <cell r="W821">
            <v>0</v>
          </cell>
          <cell r="X821">
            <v>0</v>
          </cell>
          <cell r="Y821">
            <v>0</v>
          </cell>
          <cell r="Z821">
            <v>0</v>
          </cell>
          <cell r="AA821">
            <v>0</v>
          </cell>
          <cell r="BC821">
            <v>0</v>
          </cell>
          <cell r="BD821">
            <v>0</v>
          </cell>
          <cell r="BE821">
            <v>0</v>
          </cell>
          <cell r="BF821">
            <v>0</v>
          </cell>
          <cell r="BG821">
            <v>0</v>
          </cell>
        </row>
        <row r="822">
          <cell r="E822">
            <v>0</v>
          </cell>
          <cell r="W822">
            <v>0</v>
          </cell>
          <cell r="X822">
            <v>0</v>
          </cell>
          <cell r="Y822">
            <v>0</v>
          </cell>
          <cell r="Z822">
            <v>0</v>
          </cell>
          <cell r="AA822">
            <v>0</v>
          </cell>
          <cell r="BC822">
            <v>0</v>
          </cell>
          <cell r="BD822">
            <v>0</v>
          </cell>
          <cell r="BE822">
            <v>0</v>
          </cell>
          <cell r="BF822">
            <v>0</v>
          </cell>
          <cell r="BG822">
            <v>0</v>
          </cell>
        </row>
        <row r="823">
          <cell r="E823">
            <v>0</v>
          </cell>
          <cell r="W823">
            <v>0</v>
          </cell>
          <cell r="X823">
            <v>0</v>
          </cell>
          <cell r="Y823">
            <v>0</v>
          </cell>
          <cell r="Z823">
            <v>0</v>
          </cell>
          <cell r="AA823">
            <v>0</v>
          </cell>
          <cell r="BC823">
            <v>0</v>
          </cell>
          <cell r="BD823">
            <v>0</v>
          </cell>
          <cell r="BE823">
            <v>0</v>
          </cell>
          <cell r="BF823">
            <v>0</v>
          </cell>
          <cell r="BG823">
            <v>0</v>
          </cell>
        </row>
        <row r="824">
          <cell r="E824">
            <v>0</v>
          </cell>
          <cell r="W824">
            <v>0</v>
          </cell>
          <cell r="X824">
            <v>0</v>
          </cell>
          <cell r="Y824">
            <v>0</v>
          </cell>
          <cell r="Z824">
            <v>0</v>
          </cell>
          <cell r="AA824">
            <v>0</v>
          </cell>
          <cell r="BC824">
            <v>0</v>
          </cell>
          <cell r="BD824">
            <v>0</v>
          </cell>
          <cell r="BE824">
            <v>0</v>
          </cell>
          <cell r="BF824">
            <v>0</v>
          </cell>
          <cell r="BG824">
            <v>0</v>
          </cell>
        </row>
        <row r="825">
          <cell r="E825">
            <v>0</v>
          </cell>
          <cell r="W825">
            <v>0</v>
          </cell>
          <cell r="X825">
            <v>0</v>
          </cell>
          <cell r="Y825">
            <v>0</v>
          </cell>
          <cell r="Z825">
            <v>0</v>
          </cell>
          <cell r="AA825">
            <v>0</v>
          </cell>
          <cell r="BC825">
            <v>0</v>
          </cell>
          <cell r="BD825">
            <v>0</v>
          </cell>
          <cell r="BE825">
            <v>0</v>
          </cell>
          <cell r="BF825">
            <v>0</v>
          </cell>
          <cell r="BG825">
            <v>0</v>
          </cell>
        </row>
        <row r="826">
          <cell r="E826">
            <v>0</v>
          </cell>
          <cell r="W826">
            <v>0</v>
          </cell>
          <cell r="X826">
            <v>0</v>
          </cell>
          <cell r="Y826">
            <v>0</v>
          </cell>
          <cell r="Z826">
            <v>0</v>
          </cell>
          <cell r="AA826">
            <v>0</v>
          </cell>
          <cell r="BC826">
            <v>0</v>
          </cell>
          <cell r="BD826">
            <v>0</v>
          </cell>
          <cell r="BE826">
            <v>0</v>
          </cell>
          <cell r="BF826">
            <v>0</v>
          </cell>
          <cell r="BG826">
            <v>0</v>
          </cell>
        </row>
        <row r="827">
          <cell r="E827">
            <v>0</v>
          </cell>
          <cell r="W827">
            <v>0</v>
          </cell>
          <cell r="X827">
            <v>0</v>
          </cell>
          <cell r="Y827">
            <v>0</v>
          </cell>
          <cell r="Z827">
            <v>0</v>
          </cell>
          <cell r="AA827">
            <v>0</v>
          </cell>
          <cell r="BC827">
            <v>0</v>
          </cell>
          <cell r="BD827">
            <v>0</v>
          </cell>
          <cell r="BE827">
            <v>0</v>
          </cell>
          <cell r="BF827">
            <v>0</v>
          </cell>
          <cell r="BG827">
            <v>0</v>
          </cell>
        </row>
        <row r="828">
          <cell r="E828">
            <v>0</v>
          </cell>
          <cell r="W828">
            <v>0</v>
          </cell>
          <cell r="X828">
            <v>0</v>
          </cell>
          <cell r="Y828">
            <v>0</v>
          </cell>
          <cell r="Z828">
            <v>0</v>
          </cell>
          <cell r="AA828">
            <v>0</v>
          </cell>
          <cell r="BC828">
            <v>0</v>
          </cell>
          <cell r="BD828">
            <v>0</v>
          </cell>
          <cell r="BE828">
            <v>0</v>
          </cell>
          <cell r="BF828">
            <v>0</v>
          </cell>
          <cell r="BG828">
            <v>0</v>
          </cell>
        </row>
        <row r="829">
          <cell r="E829">
            <v>0</v>
          </cell>
          <cell r="W829">
            <v>0</v>
          </cell>
          <cell r="X829">
            <v>0</v>
          </cell>
          <cell r="Y829">
            <v>0</v>
          </cell>
          <cell r="Z829">
            <v>0</v>
          </cell>
          <cell r="AA829">
            <v>0</v>
          </cell>
          <cell r="BC829">
            <v>0</v>
          </cell>
          <cell r="BD829">
            <v>0</v>
          </cell>
          <cell r="BE829">
            <v>0</v>
          </cell>
          <cell r="BF829">
            <v>0</v>
          </cell>
          <cell r="BG829">
            <v>0</v>
          </cell>
        </row>
        <row r="830">
          <cell r="E830">
            <v>0</v>
          </cell>
          <cell r="W830">
            <v>0</v>
          </cell>
          <cell r="X830">
            <v>0</v>
          </cell>
          <cell r="Y830">
            <v>0</v>
          </cell>
          <cell r="Z830">
            <v>0</v>
          </cell>
          <cell r="AA830">
            <v>0</v>
          </cell>
          <cell r="BC830">
            <v>0</v>
          </cell>
          <cell r="BD830">
            <v>0</v>
          </cell>
          <cell r="BE830">
            <v>0</v>
          </cell>
          <cell r="BF830">
            <v>0</v>
          </cell>
          <cell r="BG830">
            <v>0</v>
          </cell>
        </row>
        <row r="831">
          <cell r="E831">
            <v>0</v>
          </cell>
          <cell r="W831">
            <v>0</v>
          </cell>
          <cell r="X831">
            <v>0</v>
          </cell>
          <cell r="Y831">
            <v>0</v>
          </cell>
          <cell r="Z831">
            <v>0</v>
          </cell>
          <cell r="AA831">
            <v>0</v>
          </cell>
          <cell r="BC831">
            <v>0</v>
          </cell>
          <cell r="BD831">
            <v>0</v>
          </cell>
          <cell r="BE831">
            <v>0</v>
          </cell>
          <cell r="BF831">
            <v>0</v>
          </cell>
          <cell r="BG831">
            <v>0</v>
          </cell>
        </row>
        <row r="832">
          <cell r="E832">
            <v>0</v>
          </cell>
          <cell r="W832">
            <v>0</v>
          </cell>
          <cell r="X832">
            <v>0</v>
          </cell>
          <cell r="Y832">
            <v>0</v>
          </cell>
          <cell r="Z832">
            <v>0</v>
          </cell>
          <cell r="AA832">
            <v>0</v>
          </cell>
          <cell r="BC832">
            <v>0</v>
          </cell>
          <cell r="BD832">
            <v>0</v>
          </cell>
          <cell r="BE832">
            <v>0</v>
          </cell>
          <cell r="BF832">
            <v>0</v>
          </cell>
          <cell r="BG832">
            <v>0</v>
          </cell>
        </row>
        <row r="833">
          <cell r="E833">
            <v>0</v>
          </cell>
          <cell r="W833">
            <v>0</v>
          </cell>
          <cell r="X833">
            <v>0</v>
          </cell>
          <cell r="Y833">
            <v>0</v>
          </cell>
          <cell r="Z833">
            <v>0</v>
          </cell>
          <cell r="AA833">
            <v>0</v>
          </cell>
          <cell r="BC833">
            <v>0</v>
          </cell>
          <cell r="BD833">
            <v>0</v>
          </cell>
          <cell r="BE833">
            <v>0</v>
          </cell>
          <cell r="BF833">
            <v>0</v>
          </cell>
          <cell r="BG833">
            <v>0</v>
          </cell>
        </row>
        <row r="834">
          <cell r="E834">
            <v>0</v>
          </cell>
          <cell r="W834">
            <v>0</v>
          </cell>
          <cell r="X834">
            <v>0</v>
          </cell>
          <cell r="Y834">
            <v>0</v>
          </cell>
          <cell r="Z834">
            <v>0</v>
          </cell>
          <cell r="AA834">
            <v>0</v>
          </cell>
          <cell r="BC834">
            <v>0</v>
          </cell>
          <cell r="BD834">
            <v>0</v>
          </cell>
          <cell r="BE834">
            <v>0</v>
          </cell>
          <cell r="BF834">
            <v>0</v>
          </cell>
          <cell r="BG834">
            <v>0</v>
          </cell>
        </row>
        <row r="835">
          <cell r="E835">
            <v>0</v>
          </cell>
          <cell r="W835">
            <v>0</v>
          </cell>
          <cell r="X835">
            <v>0</v>
          </cell>
          <cell r="Y835">
            <v>0</v>
          </cell>
          <cell r="Z835">
            <v>0</v>
          </cell>
          <cell r="AA835">
            <v>0</v>
          </cell>
          <cell r="BC835">
            <v>0</v>
          </cell>
          <cell r="BD835">
            <v>0</v>
          </cell>
          <cell r="BE835">
            <v>0</v>
          </cell>
          <cell r="BF835">
            <v>0</v>
          </cell>
          <cell r="BG835">
            <v>0</v>
          </cell>
        </row>
        <row r="836">
          <cell r="E836">
            <v>0</v>
          </cell>
          <cell r="W836">
            <v>0</v>
          </cell>
          <cell r="X836">
            <v>0</v>
          </cell>
          <cell r="Y836">
            <v>0</v>
          </cell>
          <cell r="Z836">
            <v>0</v>
          </cell>
          <cell r="AA836">
            <v>0</v>
          </cell>
          <cell r="BC836">
            <v>0</v>
          </cell>
          <cell r="BD836">
            <v>0</v>
          </cell>
          <cell r="BE836">
            <v>0</v>
          </cell>
          <cell r="BF836">
            <v>0</v>
          </cell>
          <cell r="BG836">
            <v>0</v>
          </cell>
        </row>
        <row r="837">
          <cell r="E837">
            <v>0</v>
          </cell>
          <cell r="W837">
            <v>0</v>
          </cell>
          <cell r="X837">
            <v>0</v>
          </cell>
          <cell r="Y837">
            <v>0</v>
          </cell>
          <cell r="Z837">
            <v>0</v>
          </cell>
          <cell r="AA837">
            <v>0</v>
          </cell>
          <cell r="BC837">
            <v>0</v>
          </cell>
          <cell r="BD837">
            <v>0</v>
          </cell>
          <cell r="BE837">
            <v>0</v>
          </cell>
          <cell r="BF837">
            <v>0</v>
          </cell>
          <cell r="BG837">
            <v>0</v>
          </cell>
        </row>
        <row r="838">
          <cell r="E838">
            <v>0</v>
          </cell>
          <cell r="W838">
            <v>0</v>
          </cell>
          <cell r="X838">
            <v>0</v>
          </cell>
          <cell r="Y838">
            <v>0</v>
          </cell>
          <cell r="Z838">
            <v>0</v>
          </cell>
          <cell r="AA838">
            <v>0</v>
          </cell>
          <cell r="BC838">
            <v>0</v>
          </cell>
          <cell r="BD838">
            <v>0</v>
          </cell>
          <cell r="BE838">
            <v>0</v>
          </cell>
          <cell r="BF838">
            <v>0</v>
          </cell>
          <cell r="BG838">
            <v>0</v>
          </cell>
        </row>
        <row r="839">
          <cell r="E839">
            <v>0</v>
          </cell>
          <cell r="W839">
            <v>0</v>
          </cell>
          <cell r="X839">
            <v>0</v>
          </cell>
          <cell r="Y839">
            <v>0</v>
          </cell>
          <cell r="Z839">
            <v>0</v>
          </cell>
          <cell r="AA839">
            <v>0</v>
          </cell>
          <cell r="BC839">
            <v>0</v>
          </cell>
          <cell r="BD839">
            <v>0</v>
          </cell>
          <cell r="BE839">
            <v>0</v>
          </cell>
          <cell r="BF839">
            <v>0</v>
          </cell>
          <cell r="BG839">
            <v>0</v>
          </cell>
        </row>
        <row r="840">
          <cell r="E840">
            <v>0</v>
          </cell>
          <cell r="W840">
            <v>0</v>
          </cell>
          <cell r="X840">
            <v>0</v>
          </cell>
          <cell r="Y840">
            <v>0</v>
          </cell>
          <cell r="Z840">
            <v>0</v>
          </cell>
          <cell r="AA840">
            <v>0</v>
          </cell>
          <cell r="BC840">
            <v>0</v>
          </cell>
          <cell r="BD840">
            <v>0</v>
          </cell>
          <cell r="BE840">
            <v>0</v>
          </cell>
          <cell r="BF840">
            <v>0</v>
          </cell>
          <cell r="BG840">
            <v>0</v>
          </cell>
        </row>
        <row r="841">
          <cell r="E841">
            <v>0</v>
          </cell>
          <cell r="W841">
            <v>0</v>
          </cell>
          <cell r="X841">
            <v>0</v>
          </cell>
          <cell r="Y841">
            <v>0</v>
          </cell>
          <cell r="Z841">
            <v>0</v>
          </cell>
          <cell r="AA841">
            <v>0</v>
          </cell>
          <cell r="BC841">
            <v>0</v>
          </cell>
          <cell r="BD841">
            <v>0</v>
          </cell>
          <cell r="BE841">
            <v>0</v>
          </cell>
          <cell r="BF841">
            <v>0</v>
          </cell>
          <cell r="BG841">
            <v>0</v>
          </cell>
        </row>
        <row r="842">
          <cell r="E842">
            <v>0</v>
          </cell>
          <cell r="W842">
            <v>0</v>
          </cell>
          <cell r="X842">
            <v>0</v>
          </cell>
          <cell r="Y842">
            <v>0</v>
          </cell>
          <cell r="Z842">
            <v>0</v>
          </cell>
          <cell r="AA842">
            <v>0</v>
          </cell>
          <cell r="BC842">
            <v>0</v>
          </cell>
          <cell r="BD842">
            <v>0</v>
          </cell>
          <cell r="BE842">
            <v>0</v>
          </cell>
          <cell r="BF842">
            <v>0</v>
          </cell>
          <cell r="BG842">
            <v>0</v>
          </cell>
        </row>
        <row r="843">
          <cell r="E843">
            <v>0</v>
          </cell>
          <cell r="W843">
            <v>0</v>
          </cell>
          <cell r="X843">
            <v>0</v>
          </cell>
          <cell r="Y843">
            <v>0</v>
          </cell>
          <cell r="Z843">
            <v>0</v>
          </cell>
          <cell r="AA843">
            <v>0</v>
          </cell>
          <cell r="BC843">
            <v>0</v>
          </cell>
          <cell r="BD843">
            <v>0</v>
          </cell>
          <cell r="BE843">
            <v>0</v>
          </cell>
          <cell r="BF843">
            <v>0</v>
          </cell>
          <cell r="BG843">
            <v>0</v>
          </cell>
        </row>
        <row r="844">
          <cell r="E844">
            <v>0</v>
          </cell>
          <cell r="W844">
            <v>0</v>
          </cell>
          <cell r="X844">
            <v>0</v>
          </cell>
          <cell r="Y844">
            <v>0</v>
          </cell>
          <cell r="Z844">
            <v>0</v>
          </cell>
          <cell r="AA844">
            <v>0</v>
          </cell>
          <cell r="BC844">
            <v>0</v>
          </cell>
          <cell r="BD844">
            <v>0</v>
          </cell>
          <cell r="BE844">
            <v>0</v>
          </cell>
          <cell r="BF844">
            <v>0</v>
          </cell>
          <cell r="BG844">
            <v>0</v>
          </cell>
        </row>
        <row r="845">
          <cell r="E845">
            <v>0</v>
          </cell>
          <cell r="W845">
            <v>0</v>
          </cell>
          <cell r="X845">
            <v>0</v>
          </cell>
          <cell r="Y845">
            <v>0</v>
          </cell>
          <cell r="Z845">
            <v>0</v>
          </cell>
          <cell r="AA845">
            <v>0</v>
          </cell>
          <cell r="BC845">
            <v>0</v>
          </cell>
          <cell r="BD845">
            <v>0</v>
          </cell>
          <cell r="BE845">
            <v>0</v>
          </cell>
          <cell r="BF845">
            <v>0</v>
          </cell>
          <cell r="BG845">
            <v>0</v>
          </cell>
        </row>
        <row r="846">
          <cell r="E846">
            <v>0</v>
          </cell>
          <cell r="W846">
            <v>0</v>
          </cell>
          <cell r="X846">
            <v>0</v>
          </cell>
          <cell r="Y846">
            <v>0</v>
          </cell>
          <cell r="Z846">
            <v>0</v>
          </cell>
          <cell r="AA846">
            <v>0</v>
          </cell>
          <cell r="BC846">
            <v>0</v>
          </cell>
          <cell r="BD846">
            <v>0</v>
          </cell>
          <cell r="BE846">
            <v>0</v>
          </cell>
          <cell r="BF846">
            <v>0</v>
          </cell>
          <cell r="BG846">
            <v>0</v>
          </cell>
        </row>
        <row r="847">
          <cell r="E847">
            <v>0</v>
          </cell>
          <cell r="W847">
            <v>0</v>
          </cell>
          <cell r="X847">
            <v>0</v>
          </cell>
          <cell r="Y847">
            <v>0</v>
          </cell>
          <cell r="Z847">
            <v>0</v>
          </cell>
          <cell r="AA847">
            <v>0</v>
          </cell>
          <cell r="BC847">
            <v>0</v>
          </cell>
          <cell r="BD847">
            <v>0</v>
          </cell>
          <cell r="BE847">
            <v>0</v>
          </cell>
          <cell r="BF847">
            <v>0</v>
          </cell>
          <cell r="BG847">
            <v>0</v>
          </cell>
        </row>
        <row r="848">
          <cell r="E848">
            <v>0</v>
          </cell>
          <cell r="W848">
            <v>0</v>
          </cell>
          <cell r="X848">
            <v>0</v>
          </cell>
          <cell r="Y848">
            <v>0</v>
          </cell>
          <cell r="Z848">
            <v>0</v>
          </cell>
          <cell r="AA848">
            <v>0</v>
          </cell>
          <cell r="BC848">
            <v>0</v>
          </cell>
          <cell r="BD848">
            <v>0</v>
          </cell>
          <cell r="BE848">
            <v>0</v>
          </cell>
          <cell r="BF848">
            <v>0</v>
          </cell>
          <cell r="BG848">
            <v>0</v>
          </cell>
        </row>
        <row r="849">
          <cell r="E849">
            <v>0</v>
          </cell>
          <cell r="W849">
            <v>0</v>
          </cell>
          <cell r="X849">
            <v>0</v>
          </cell>
          <cell r="Y849">
            <v>0</v>
          </cell>
          <cell r="Z849">
            <v>0</v>
          </cell>
          <cell r="AA849">
            <v>0</v>
          </cell>
          <cell r="BC849">
            <v>0</v>
          </cell>
          <cell r="BD849">
            <v>0</v>
          </cell>
          <cell r="BE849">
            <v>0</v>
          </cell>
          <cell r="BF849">
            <v>0</v>
          </cell>
          <cell r="BG849">
            <v>0</v>
          </cell>
        </row>
        <row r="850">
          <cell r="E850">
            <v>0</v>
          </cell>
          <cell r="W850">
            <v>0</v>
          </cell>
          <cell r="X850">
            <v>0</v>
          </cell>
          <cell r="Y850">
            <v>0</v>
          </cell>
          <cell r="Z850">
            <v>0</v>
          </cell>
          <cell r="AA850">
            <v>0</v>
          </cell>
          <cell r="BC850">
            <v>0</v>
          </cell>
          <cell r="BD850">
            <v>0</v>
          </cell>
          <cell r="BE850">
            <v>0</v>
          </cell>
          <cell r="BF850">
            <v>0</v>
          </cell>
          <cell r="BG850">
            <v>0</v>
          </cell>
        </row>
        <row r="851">
          <cell r="E851">
            <v>0</v>
          </cell>
          <cell r="W851">
            <v>0</v>
          </cell>
          <cell r="X851">
            <v>0</v>
          </cell>
          <cell r="Y851">
            <v>0</v>
          </cell>
          <cell r="Z851">
            <v>0</v>
          </cell>
          <cell r="AA851">
            <v>0</v>
          </cell>
          <cell r="BC851">
            <v>0</v>
          </cell>
          <cell r="BD851">
            <v>0</v>
          </cell>
          <cell r="BE851">
            <v>0</v>
          </cell>
          <cell r="BF851">
            <v>0</v>
          </cell>
          <cell r="BG851">
            <v>0</v>
          </cell>
        </row>
        <row r="852">
          <cell r="E852">
            <v>0</v>
          </cell>
          <cell r="W852">
            <v>0</v>
          </cell>
          <cell r="X852">
            <v>0</v>
          </cell>
          <cell r="Y852">
            <v>0</v>
          </cell>
          <cell r="Z852">
            <v>0</v>
          </cell>
          <cell r="AA852">
            <v>0</v>
          </cell>
          <cell r="BC852">
            <v>0</v>
          </cell>
          <cell r="BD852">
            <v>0</v>
          </cell>
          <cell r="BE852">
            <v>0</v>
          </cell>
          <cell r="BF852">
            <v>0</v>
          </cell>
          <cell r="BG852">
            <v>0</v>
          </cell>
        </row>
        <row r="853">
          <cell r="E853">
            <v>0</v>
          </cell>
          <cell r="W853">
            <v>0</v>
          </cell>
          <cell r="X853">
            <v>0</v>
          </cell>
          <cell r="Y853">
            <v>0</v>
          </cell>
          <cell r="Z853">
            <v>0</v>
          </cell>
          <cell r="AA853">
            <v>0</v>
          </cell>
          <cell r="BC853">
            <v>0</v>
          </cell>
          <cell r="BD853">
            <v>0</v>
          </cell>
          <cell r="BE853">
            <v>0</v>
          </cell>
          <cell r="BF853">
            <v>0</v>
          </cell>
          <cell r="BG853">
            <v>0</v>
          </cell>
        </row>
        <row r="854">
          <cell r="E854">
            <v>0</v>
          </cell>
          <cell r="W854">
            <v>0</v>
          </cell>
          <cell r="X854">
            <v>0</v>
          </cell>
          <cell r="Y854">
            <v>0</v>
          </cell>
          <cell r="Z854">
            <v>0</v>
          </cell>
          <cell r="AA854">
            <v>0</v>
          </cell>
          <cell r="BC854">
            <v>0</v>
          </cell>
          <cell r="BD854">
            <v>0</v>
          </cell>
          <cell r="BE854">
            <v>0</v>
          </cell>
          <cell r="BF854">
            <v>0</v>
          </cell>
          <cell r="BG854">
            <v>0</v>
          </cell>
        </row>
        <row r="855">
          <cell r="E855">
            <v>0</v>
          </cell>
          <cell r="W855">
            <v>0</v>
          </cell>
          <cell r="X855">
            <v>0</v>
          </cell>
          <cell r="Y855">
            <v>0</v>
          </cell>
          <cell r="Z855">
            <v>0</v>
          </cell>
          <cell r="AA855">
            <v>0</v>
          </cell>
          <cell r="BC855">
            <v>0</v>
          </cell>
          <cell r="BD855">
            <v>0</v>
          </cell>
          <cell r="BE855">
            <v>0</v>
          </cell>
          <cell r="BF855">
            <v>0</v>
          </cell>
          <cell r="BG855">
            <v>0</v>
          </cell>
        </row>
        <row r="856">
          <cell r="E856">
            <v>0</v>
          </cell>
          <cell r="W856">
            <v>0</v>
          </cell>
          <cell r="X856">
            <v>0</v>
          </cell>
          <cell r="Y856">
            <v>0</v>
          </cell>
          <cell r="Z856">
            <v>0</v>
          </cell>
          <cell r="AA856">
            <v>0</v>
          </cell>
          <cell r="BC856">
            <v>0</v>
          </cell>
          <cell r="BD856">
            <v>0</v>
          </cell>
          <cell r="BE856">
            <v>0</v>
          </cell>
          <cell r="BF856">
            <v>0</v>
          </cell>
          <cell r="BG856">
            <v>0</v>
          </cell>
        </row>
        <row r="857">
          <cell r="E857">
            <v>0</v>
          </cell>
          <cell r="W857">
            <v>0</v>
          </cell>
          <cell r="X857">
            <v>0</v>
          </cell>
          <cell r="Y857">
            <v>0</v>
          </cell>
          <cell r="Z857">
            <v>0</v>
          </cell>
          <cell r="AA857">
            <v>0</v>
          </cell>
          <cell r="BC857">
            <v>0</v>
          </cell>
          <cell r="BD857">
            <v>0</v>
          </cell>
          <cell r="BE857">
            <v>0</v>
          </cell>
          <cell r="BF857">
            <v>0</v>
          </cell>
          <cell r="BG857">
            <v>0</v>
          </cell>
        </row>
        <row r="858">
          <cell r="E858">
            <v>0</v>
          </cell>
          <cell r="W858">
            <v>0</v>
          </cell>
          <cell r="X858">
            <v>0</v>
          </cell>
          <cell r="Y858">
            <v>0</v>
          </cell>
          <cell r="Z858">
            <v>0</v>
          </cell>
          <cell r="AA858">
            <v>0</v>
          </cell>
          <cell r="BC858">
            <v>0</v>
          </cell>
          <cell r="BD858">
            <v>0</v>
          </cell>
          <cell r="BE858">
            <v>0</v>
          </cell>
          <cell r="BF858">
            <v>0</v>
          </cell>
          <cell r="BG858">
            <v>0</v>
          </cell>
        </row>
        <row r="859">
          <cell r="E859">
            <v>0</v>
          </cell>
          <cell r="W859">
            <v>0</v>
          </cell>
          <cell r="X859">
            <v>0</v>
          </cell>
          <cell r="Y859">
            <v>0</v>
          </cell>
          <cell r="Z859">
            <v>0</v>
          </cell>
          <cell r="AA859">
            <v>0</v>
          </cell>
          <cell r="BC859">
            <v>0</v>
          </cell>
          <cell r="BD859">
            <v>0</v>
          </cell>
          <cell r="BE859">
            <v>0</v>
          </cell>
          <cell r="BF859">
            <v>0</v>
          </cell>
          <cell r="BG859">
            <v>0</v>
          </cell>
        </row>
        <row r="860">
          <cell r="E860">
            <v>0</v>
          </cell>
          <cell r="W860">
            <v>0</v>
          </cell>
          <cell r="X860">
            <v>0</v>
          </cell>
          <cell r="Y860">
            <v>0</v>
          </cell>
          <cell r="Z860">
            <v>0</v>
          </cell>
          <cell r="AA860">
            <v>0</v>
          </cell>
          <cell r="BC860">
            <v>0</v>
          </cell>
          <cell r="BD860">
            <v>0</v>
          </cell>
          <cell r="BE860">
            <v>0</v>
          </cell>
          <cell r="BF860">
            <v>0</v>
          </cell>
          <cell r="BG860">
            <v>0</v>
          </cell>
        </row>
        <row r="861">
          <cell r="E861">
            <v>0</v>
          </cell>
          <cell r="W861">
            <v>0</v>
          </cell>
          <cell r="X861">
            <v>0</v>
          </cell>
          <cell r="Y861">
            <v>0</v>
          </cell>
          <cell r="Z861">
            <v>0</v>
          </cell>
          <cell r="AA861">
            <v>0</v>
          </cell>
          <cell r="BC861">
            <v>0</v>
          </cell>
          <cell r="BD861">
            <v>0</v>
          </cell>
          <cell r="BE861">
            <v>0</v>
          </cell>
          <cell r="BF861">
            <v>0</v>
          </cell>
          <cell r="BG861">
            <v>0</v>
          </cell>
        </row>
        <row r="862">
          <cell r="E862">
            <v>0</v>
          </cell>
          <cell r="W862">
            <v>0</v>
          </cell>
          <cell r="X862">
            <v>0</v>
          </cell>
          <cell r="Y862">
            <v>0</v>
          </cell>
          <cell r="Z862">
            <v>0</v>
          </cell>
          <cell r="AA862">
            <v>0</v>
          </cell>
          <cell r="BC862">
            <v>0</v>
          </cell>
          <cell r="BD862">
            <v>0</v>
          </cell>
          <cell r="BE862">
            <v>0</v>
          </cell>
          <cell r="BF862">
            <v>0</v>
          </cell>
          <cell r="BG862">
            <v>0</v>
          </cell>
        </row>
        <row r="863">
          <cell r="E863">
            <v>0</v>
          </cell>
          <cell r="W863">
            <v>0</v>
          </cell>
          <cell r="X863">
            <v>0</v>
          </cell>
          <cell r="Y863">
            <v>0</v>
          </cell>
          <cell r="Z863">
            <v>0</v>
          </cell>
          <cell r="AA863">
            <v>0</v>
          </cell>
          <cell r="BC863">
            <v>0</v>
          </cell>
          <cell r="BD863">
            <v>0</v>
          </cell>
          <cell r="BE863">
            <v>0</v>
          </cell>
          <cell r="BF863">
            <v>0</v>
          </cell>
          <cell r="BG863">
            <v>0</v>
          </cell>
        </row>
        <row r="864">
          <cell r="E864">
            <v>0</v>
          </cell>
          <cell r="W864">
            <v>0</v>
          </cell>
          <cell r="X864">
            <v>0</v>
          </cell>
          <cell r="Y864">
            <v>0</v>
          </cell>
          <cell r="Z864">
            <v>0</v>
          </cell>
          <cell r="AA864">
            <v>0</v>
          </cell>
          <cell r="BC864">
            <v>0</v>
          </cell>
          <cell r="BD864">
            <v>0</v>
          </cell>
          <cell r="BE864">
            <v>0</v>
          </cell>
          <cell r="BF864">
            <v>0</v>
          </cell>
          <cell r="BG864">
            <v>0</v>
          </cell>
        </row>
        <row r="865">
          <cell r="E865">
            <v>0</v>
          </cell>
          <cell r="W865">
            <v>0</v>
          </cell>
          <cell r="X865">
            <v>0</v>
          </cell>
          <cell r="Y865">
            <v>0</v>
          </cell>
          <cell r="Z865">
            <v>0</v>
          </cell>
          <cell r="AA865">
            <v>0</v>
          </cell>
          <cell r="BC865">
            <v>0</v>
          </cell>
          <cell r="BD865">
            <v>0</v>
          </cell>
          <cell r="BE865">
            <v>0</v>
          </cell>
          <cell r="BF865">
            <v>0</v>
          </cell>
          <cell r="BG865">
            <v>0</v>
          </cell>
        </row>
        <row r="866">
          <cell r="E866">
            <v>0</v>
          </cell>
          <cell r="W866">
            <v>0</v>
          </cell>
          <cell r="X866">
            <v>0</v>
          </cell>
          <cell r="Y866">
            <v>0</v>
          </cell>
          <cell r="Z866">
            <v>0</v>
          </cell>
          <cell r="AA866">
            <v>0</v>
          </cell>
          <cell r="BC866">
            <v>0</v>
          </cell>
          <cell r="BD866">
            <v>0</v>
          </cell>
          <cell r="BE866">
            <v>0</v>
          </cell>
          <cell r="BF866">
            <v>0</v>
          </cell>
          <cell r="BG866">
            <v>0</v>
          </cell>
        </row>
        <row r="867">
          <cell r="E867">
            <v>0</v>
          </cell>
          <cell r="W867">
            <v>0</v>
          </cell>
          <cell r="X867">
            <v>0</v>
          </cell>
          <cell r="Y867">
            <v>0</v>
          </cell>
          <cell r="Z867">
            <v>0</v>
          </cell>
          <cell r="AA867">
            <v>0</v>
          </cell>
          <cell r="BC867">
            <v>0</v>
          </cell>
          <cell r="BD867">
            <v>0</v>
          </cell>
          <cell r="BE867">
            <v>0</v>
          </cell>
          <cell r="BF867">
            <v>0</v>
          </cell>
          <cell r="BG867">
            <v>0</v>
          </cell>
        </row>
        <row r="868">
          <cell r="E868">
            <v>0</v>
          </cell>
          <cell r="W868">
            <v>0</v>
          </cell>
          <cell r="X868">
            <v>0</v>
          </cell>
          <cell r="Y868">
            <v>0</v>
          </cell>
          <cell r="Z868">
            <v>0</v>
          </cell>
          <cell r="AA868">
            <v>0</v>
          </cell>
          <cell r="BC868">
            <v>0</v>
          </cell>
          <cell r="BD868">
            <v>0</v>
          </cell>
          <cell r="BE868">
            <v>0</v>
          </cell>
          <cell r="BF868">
            <v>0</v>
          </cell>
          <cell r="BG868">
            <v>0</v>
          </cell>
        </row>
        <row r="869">
          <cell r="E869">
            <v>0</v>
          </cell>
          <cell r="W869">
            <v>0</v>
          </cell>
          <cell r="X869">
            <v>0</v>
          </cell>
          <cell r="Y869">
            <v>0</v>
          </cell>
          <cell r="Z869">
            <v>0</v>
          </cell>
          <cell r="AA869">
            <v>0</v>
          </cell>
          <cell r="BC869">
            <v>0</v>
          </cell>
          <cell r="BD869">
            <v>0</v>
          </cell>
          <cell r="BE869">
            <v>0</v>
          </cell>
          <cell r="BF869">
            <v>0</v>
          </cell>
          <cell r="BG869">
            <v>0</v>
          </cell>
        </row>
        <row r="870">
          <cell r="E870">
            <v>0</v>
          </cell>
          <cell r="W870">
            <v>0</v>
          </cell>
          <cell r="X870">
            <v>0</v>
          </cell>
          <cell r="Y870">
            <v>0</v>
          </cell>
          <cell r="Z870">
            <v>0</v>
          </cell>
          <cell r="AA870">
            <v>0</v>
          </cell>
          <cell r="BC870">
            <v>0</v>
          </cell>
          <cell r="BD870">
            <v>0</v>
          </cell>
          <cell r="BE870">
            <v>0</v>
          </cell>
          <cell r="BF870">
            <v>0</v>
          </cell>
          <cell r="BG870">
            <v>0</v>
          </cell>
        </row>
        <row r="871">
          <cell r="E871">
            <v>0</v>
          </cell>
          <cell r="W871">
            <v>0</v>
          </cell>
          <cell r="X871">
            <v>0</v>
          </cell>
          <cell r="Y871">
            <v>0</v>
          </cell>
          <cell r="Z871">
            <v>0</v>
          </cell>
          <cell r="AA871">
            <v>0</v>
          </cell>
          <cell r="BC871">
            <v>0</v>
          </cell>
          <cell r="BD871">
            <v>0</v>
          </cell>
          <cell r="BE871">
            <v>0</v>
          </cell>
          <cell r="BF871">
            <v>0</v>
          </cell>
          <cell r="BG871">
            <v>0</v>
          </cell>
        </row>
        <row r="872">
          <cell r="E872">
            <v>0</v>
          </cell>
          <cell r="W872">
            <v>0</v>
          </cell>
          <cell r="X872">
            <v>0</v>
          </cell>
          <cell r="Y872">
            <v>0</v>
          </cell>
          <cell r="Z872">
            <v>0</v>
          </cell>
          <cell r="AA872">
            <v>0</v>
          </cell>
          <cell r="BC872">
            <v>0</v>
          </cell>
          <cell r="BD872">
            <v>0</v>
          </cell>
          <cell r="BE872">
            <v>0</v>
          </cell>
          <cell r="BF872">
            <v>0</v>
          </cell>
          <cell r="BG872">
            <v>0</v>
          </cell>
        </row>
        <row r="873">
          <cell r="E873">
            <v>0</v>
          </cell>
          <cell r="W873">
            <v>0</v>
          </cell>
          <cell r="X873">
            <v>0</v>
          </cell>
          <cell r="Y873">
            <v>0</v>
          </cell>
          <cell r="Z873">
            <v>0</v>
          </cell>
          <cell r="AA873">
            <v>0</v>
          </cell>
          <cell r="BC873">
            <v>0</v>
          </cell>
          <cell r="BD873">
            <v>0</v>
          </cell>
          <cell r="BE873">
            <v>0</v>
          </cell>
          <cell r="BF873">
            <v>0</v>
          </cell>
          <cell r="BG873">
            <v>0</v>
          </cell>
        </row>
        <row r="874">
          <cell r="E874">
            <v>0</v>
          </cell>
          <cell r="W874">
            <v>0</v>
          </cell>
          <cell r="X874">
            <v>0</v>
          </cell>
          <cell r="Y874">
            <v>0</v>
          </cell>
          <cell r="Z874">
            <v>0</v>
          </cell>
          <cell r="AA874">
            <v>0</v>
          </cell>
          <cell r="BC874">
            <v>0</v>
          </cell>
          <cell r="BD874">
            <v>0</v>
          </cell>
          <cell r="BE874">
            <v>0</v>
          </cell>
          <cell r="BF874">
            <v>0</v>
          </cell>
          <cell r="BG874">
            <v>0</v>
          </cell>
        </row>
        <row r="875">
          <cell r="E875">
            <v>0</v>
          </cell>
          <cell r="W875">
            <v>0</v>
          </cell>
          <cell r="X875">
            <v>0</v>
          </cell>
          <cell r="Y875">
            <v>0</v>
          </cell>
          <cell r="Z875">
            <v>0</v>
          </cell>
          <cell r="AA875">
            <v>0</v>
          </cell>
          <cell r="BC875">
            <v>0</v>
          </cell>
          <cell r="BD875">
            <v>0</v>
          </cell>
          <cell r="BE875">
            <v>0</v>
          </cell>
          <cell r="BF875">
            <v>0</v>
          </cell>
          <cell r="BG875">
            <v>0</v>
          </cell>
        </row>
        <row r="876">
          <cell r="E876">
            <v>0</v>
          </cell>
          <cell r="W876">
            <v>0</v>
          </cell>
          <cell r="X876">
            <v>0</v>
          </cell>
          <cell r="Y876">
            <v>0</v>
          </cell>
          <cell r="Z876">
            <v>0</v>
          </cell>
          <cell r="AA876">
            <v>0</v>
          </cell>
          <cell r="BC876">
            <v>0</v>
          </cell>
          <cell r="BD876">
            <v>0</v>
          </cell>
          <cell r="BE876">
            <v>0</v>
          </cell>
          <cell r="BF876">
            <v>0</v>
          </cell>
          <cell r="BG876">
            <v>0</v>
          </cell>
        </row>
        <row r="877">
          <cell r="E877">
            <v>0</v>
          </cell>
          <cell r="W877">
            <v>0</v>
          </cell>
          <cell r="X877">
            <v>0</v>
          </cell>
          <cell r="Y877">
            <v>0</v>
          </cell>
          <cell r="Z877">
            <v>0</v>
          </cell>
          <cell r="AA877">
            <v>0</v>
          </cell>
          <cell r="BC877">
            <v>0</v>
          </cell>
          <cell r="BD877">
            <v>0</v>
          </cell>
          <cell r="BE877">
            <v>0</v>
          </cell>
          <cell r="BF877">
            <v>0</v>
          </cell>
          <cell r="BG877">
            <v>0</v>
          </cell>
        </row>
        <row r="878">
          <cell r="E878">
            <v>0</v>
          </cell>
          <cell r="W878">
            <v>0</v>
          </cell>
          <cell r="X878">
            <v>0</v>
          </cell>
          <cell r="Y878">
            <v>0</v>
          </cell>
          <cell r="Z878">
            <v>0</v>
          </cell>
          <cell r="AA878">
            <v>0</v>
          </cell>
          <cell r="BC878">
            <v>0</v>
          </cell>
          <cell r="BD878">
            <v>0</v>
          </cell>
          <cell r="BE878">
            <v>0</v>
          </cell>
          <cell r="BF878">
            <v>0</v>
          </cell>
          <cell r="BG878">
            <v>0</v>
          </cell>
        </row>
        <row r="879">
          <cell r="E879">
            <v>0</v>
          </cell>
          <cell r="W879">
            <v>0</v>
          </cell>
          <cell r="X879">
            <v>0</v>
          </cell>
          <cell r="Y879">
            <v>0</v>
          </cell>
          <cell r="Z879">
            <v>0</v>
          </cell>
          <cell r="AA879">
            <v>0</v>
          </cell>
          <cell r="BC879">
            <v>0</v>
          </cell>
          <cell r="BD879">
            <v>0</v>
          </cell>
          <cell r="BE879">
            <v>0</v>
          </cell>
          <cell r="BF879">
            <v>0</v>
          </cell>
          <cell r="BG879">
            <v>0</v>
          </cell>
        </row>
        <row r="880">
          <cell r="E880">
            <v>0</v>
          </cell>
          <cell r="W880">
            <v>0</v>
          </cell>
          <cell r="X880">
            <v>0</v>
          </cell>
          <cell r="Y880">
            <v>0</v>
          </cell>
          <cell r="Z880">
            <v>0</v>
          </cell>
          <cell r="AA880">
            <v>0</v>
          </cell>
          <cell r="BC880">
            <v>0</v>
          </cell>
          <cell r="BD880">
            <v>0</v>
          </cell>
          <cell r="BE880">
            <v>0</v>
          </cell>
          <cell r="BF880">
            <v>0</v>
          </cell>
          <cell r="BG880">
            <v>0</v>
          </cell>
        </row>
        <row r="881">
          <cell r="E881">
            <v>0</v>
          </cell>
          <cell r="W881">
            <v>0</v>
          </cell>
          <cell r="X881">
            <v>0</v>
          </cell>
          <cell r="Y881">
            <v>0</v>
          </cell>
          <cell r="Z881">
            <v>0</v>
          </cell>
          <cell r="AA881">
            <v>0</v>
          </cell>
          <cell r="BC881">
            <v>0</v>
          </cell>
          <cell r="BD881">
            <v>0</v>
          </cell>
          <cell r="BE881">
            <v>0</v>
          </cell>
          <cell r="BF881">
            <v>0</v>
          </cell>
          <cell r="BG881">
            <v>0</v>
          </cell>
        </row>
        <row r="882">
          <cell r="E882">
            <v>0</v>
          </cell>
          <cell r="W882">
            <v>0</v>
          </cell>
          <cell r="X882">
            <v>0</v>
          </cell>
          <cell r="Y882">
            <v>0</v>
          </cell>
          <cell r="Z882">
            <v>0</v>
          </cell>
          <cell r="AA882">
            <v>0</v>
          </cell>
          <cell r="BC882">
            <v>0</v>
          </cell>
          <cell r="BD882">
            <v>0</v>
          </cell>
          <cell r="BE882">
            <v>0</v>
          </cell>
          <cell r="BF882">
            <v>0</v>
          </cell>
          <cell r="BG882">
            <v>0</v>
          </cell>
        </row>
        <row r="883">
          <cell r="E883">
            <v>0</v>
          </cell>
          <cell r="W883">
            <v>0</v>
          </cell>
          <cell r="X883">
            <v>0</v>
          </cell>
          <cell r="Y883">
            <v>0</v>
          </cell>
          <cell r="Z883">
            <v>0</v>
          </cell>
          <cell r="AA883">
            <v>0</v>
          </cell>
          <cell r="BC883">
            <v>0</v>
          </cell>
          <cell r="BD883">
            <v>0</v>
          </cell>
          <cell r="BE883">
            <v>0</v>
          </cell>
          <cell r="BF883">
            <v>0</v>
          </cell>
          <cell r="BG883">
            <v>0</v>
          </cell>
        </row>
        <row r="884">
          <cell r="E884">
            <v>0</v>
          </cell>
          <cell r="W884">
            <v>0</v>
          </cell>
          <cell r="X884">
            <v>0</v>
          </cell>
          <cell r="Y884">
            <v>0</v>
          </cell>
          <cell r="Z884">
            <v>0</v>
          </cell>
          <cell r="AA884">
            <v>0</v>
          </cell>
          <cell r="BC884">
            <v>0</v>
          </cell>
          <cell r="BD884">
            <v>0</v>
          </cell>
          <cell r="BE884">
            <v>0</v>
          </cell>
          <cell r="BF884">
            <v>0</v>
          </cell>
          <cell r="BG884">
            <v>0</v>
          </cell>
        </row>
        <row r="885">
          <cell r="E885">
            <v>0</v>
          </cell>
          <cell r="W885">
            <v>0</v>
          </cell>
          <cell r="X885">
            <v>0</v>
          </cell>
          <cell r="Y885">
            <v>0</v>
          </cell>
          <cell r="Z885">
            <v>0</v>
          </cell>
          <cell r="AA885">
            <v>0</v>
          </cell>
          <cell r="BC885">
            <v>0</v>
          </cell>
          <cell r="BD885">
            <v>0</v>
          </cell>
          <cell r="BE885">
            <v>0</v>
          </cell>
          <cell r="BF885">
            <v>0</v>
          </cell>
          <cell r="BG885">
            <v>0</v>
          </cell>
        </row>
        <row r="886">
          <cell r="E886">
            <v>0</v>
          </cell>
          <cell r="W886">
            <v>0</v>
          </cell>
          <cell r="X886">
            <v>0</v>
          </cell>
          <cell r="Y886">
            <v>0</v>
          </cell>
          <cell r="Z886">
            <v>0</v>
          </cell>
          <cell r="AA886">
            <v>0</v>
          </cell>
          <cell r="BC886">
            <v>0</v>
          </cell>
          <cell r="BD886">
            <v>0</v>
          </cell>
          <cell r="BE886">
            <v>0</v>
          </cell>
          <cell r="BF886">
            <v>0</v>
          </cell>
          <cell r="BG886">
            <v>0</v>
          </cell>
        </row>
        <row r="887">
          <cell r="E887">
            <v>0</v>
          </cell>
          <cell r="W887">
            <v>0</v>
          </cell>
          <cell r="X887">
            <v>0</v>
          </cell>
          <cell r="Y887">
            <v>0</v>
          </cell>
          <cell r="Z887">
            <v>0</v>
          </cell>
          <cell r="AA887">
            <v>0</v>
          </cell>
          <cell r="BC887">
            <v>0</v>
          </cell>
          <cell r="BD887">
            <v>0</v>
          </cell>
          <cell r="BE887">
            <v>0</v>
          </cell>
          <cell r="BF887">
            <v>0</v>
          </cell>
          <cell r="BG887">
            <v>0</v>
          </cell>
        </row>
        <row r="888">
          <cell r="E888">
            <v>0</v>
          </cell>
          <cell r="W888">
            <v>0</v>
          </cell>
          <cell r="X888">
            <v>0</v>
          </cell>
          <cell r="Y888">
            <v>0</v>
          </cell>
          <cell r="Z888">
            <v>0</v>
          </cell>
          <cell r="AA888">
            <v>0</v>
          </cell>
          <cell r="BC888">
            <v>0</v>
          </cell>
          <cell r="BD888">
            <v>0</v>
          </cell>
          <cell r="BE888">
            <v>0</v>
          </cell>
          <cell r="BF888">
            <v>0</v>
          </cell>
          <cell r="BG888">
            <v>0</v>
          </cell>
        </row>
        <row r="889">
          <cell r="E889">
            <v>0</v>
          </cell>
          <cell r="W889">
            <v>0</v>
          </cell>
          <cell r="X889">
            <v>0</v>
          </cell>
          <cell r="Y889">
            <v>0</v>
          </cell>
          <cell r="Z889">
            <v>0</v>
          </cell>
          <cell r="AA889">
            <v>0</v>
          </cell>
          <cell r="BC889">
            <v>0</v>
          </cell>
          <cell r="BD889">
            <v>0</v>
          </cell>
          <cell r="BE889">
            <v>0</v>
          </cell>
          <cell r="BF889">
            <v>0</v>
          </cell>
          <cell r="BG889">
            <v>0</v>
          </cell>
        </row>
        <row r="890">
          <cell r="E890">
            <v>0</v>
          </cell>
          <cell r="W890">
            <v>0</v>
          </cell>
          <cell r="X890">
            <v>0</v>
          </cell>
          <cell r="Y890">
            <v>0</v>
          </cell>
          <cell r="Z890">
            <v>0</v>
          </cell>
          <cell r="AA890">
            <v>0</v>
          </cell>
          <cell r="BC890">
            <v>0</v>
          </cell>
          <cell r="BD890">
            <v>0</v>
          </cell>
          <cell r="BE890">
            <v>0</v>
          </cell>
          <cell r="BF890">
            <v>0</v>
          </cell>
          <cell r="BG890">
            <v>0</v>
          </cell>
        </row>
        <row r="891">
          <cell r="E891">
            <v>0</v>
          </cell>
          <cell r="W891">
            <v>0</v>
          </cell>
          <cell r="X891">
            <v>0</v>
          </cell>
          <cell r="Y891">
            <v>0</v>
          </cell>
          <cell r="Z891">
            <v>0</v>
          </cell>
          <cell r="AA891">
            <v>0</v>
          </cell>
          <cell r="BC891">
            <v>0</v>
          </cell>
          <cell r="BD891">
            <v>0</v>
          </cell>
          <cell r="BE891">
            <v>0</v>
          </cell>
          <cell r="BF891">
            <v>0</v>
          </cell>
          <cell r="BG891">
            <v>0</v>
          </cell>
        </row>
        <row r="892">
          <cell r="E892">
            <v>0</v>
          </cell>
          <cell r="W892">
            <v>0</v>
          </cell>
          <cell r="X892">
            <v>0</v>
          </cell>
          <cell r="Y892">
            <v>0</v>
          </cell>
          <cell r="Z892">
            <v>0</v>
          </cell>
          <cell r="AA892">
            <v>0</v>
          </cell>
          <cell r="BC892">
            <v>0</v>
          </cell>
          <cell r="BD892">
            <v>0</v>
          </cell>
          <cell r="BE892">
            <v>0</v>
          </cell>
          <cell r="BF892">
            <v>0</v>
          </cell>
          <cell r="BG892">
            <v>0</v>
          </cell>
        </row>
        <row r="893">
          <cell r="E893">
            <v>0</v>
          </cell>
          <cell r="W893">
            <v>0</v>
          </cell>
          <cell r="X893">
            <v>0</v>
          </cell>
          <cell r="Y893">
            <v>0</v>
          </cell>
          <cell r="Z893">
            <v>0</v>
          </cell>
          <cell r="AA893">
            <v>0</v>
          </cell>
          <cell r="BC893">
            <v>0</v>
          </cell>
          <cell r="BD893">
            <v>0</v>
          </cell>
          <cell r="BE893">
            <v>0</v>
          </cell>
          <cell r="BF893">
            <v>0</v>
          </cell>
          <cell r="BG893">
            <v>0</v>
          </cell>
        </row>
        <row r="894">
          <cell r="E894">
            <v>0</v>
          </cell>
          <cell r="W894">
            <v>0</v>
          </cell>
          <cell r="X894">
            <v>0</v>
          </cell>
          <cell r="Y894">
            <v>0</v>
          </cell>
          <cell r="Z894">
            <v>0</v>
          </cell>
          <cell r="AA894">
            <v>0</v>
          </cell>
          <cell r="BC894">
            <v>0</v>
          </cell>
          <cell r="BD894">
            <v>0</v>
          </cell>
          <cell r="BE894">
            <v>0</v>
          </cell>
          <cell r="BF894">
            <v>0</v>
          </cell>
          <cell r="BG894">
            <v>0</v>
          </cell>
        </row>
        <row r="895">
          <cell r="E895">
            <v>0</v>
          </cell>
          <cell r="W895">
            <v>0</v>
          </cell>
          <cell r="X895">
            <v>0</v>
          </cell>
          <cell r="Y895">
            <v>0</v>
          </cell>
          <cell r="Z895">
            <v>0</v>
          </cell>
          <cell r="AA895">
            <v>0</v>
          </cell>
          <cell r="BC895">
            <v>0</v>
          </cell>
          <cell r="BD895">
            <v>0</v>
          </cell>
          <cell r="BE895">
            <v>0</v>
          </cell>
          <cell r="BF895">
            <v>0</v>
          </cell>
          <cell r="BG895">
            <v>0</v>
          </cell>
        </row>
        <row r="896">
          <cell r="E896">
            <v>0</v>
          </cell>
          <cell r="W896">
            <v>0</v>
          </cell>
          <cell r="X896">
            <v>0</v>
          </cell>
          <cell r="Y896">
            <v>0</v>
          </cell>
          <cell r="Z896">
            <v>0</v>
          </cell>
          <cell r="AA896">
            <v>0</v>
          </cell>
          <cell r="BC896">
            <v>0</v>
          </cell>
          <cell r="BD896">
            <v>0</v>
          </cell>
          <cell r="BE896">
            <v>0</v>
          </cell>
          <cell r="BF896">
            <v>0</v>
          </cell>
          <cell r="BG896">
            <v>0</v>
          </cell>
        </row>
        <row r="897">
          <cell r="E897">
            <v>0</v>
          </cell>
          <cell r="W897">
            <v>0</v>
          </cell>
          <cell r="X897">
            <v>0</v>
          </cell>
          <cell r="Y897">
            <v>0</v>
          </cell>
          <cell r="Z897">
            <v>0</v>
          </cell>
          <cell r="AA897">
            <v>0</v>
          </cell>
          <cell r="BC897">
            <v>0</v>
          </cell>
          <cell r="BD897">
            <v>0</v>
          </cell>
          <cell r="BE897">
            <v>0</v>
          </cell>
          <cell r="BF897">
            <v>0</v>
          </cell>
          <cell r="BG897">
            <v>0</v>
          </cell>
        </row>
        <row r="898">
          <cell r="E898">
            <v>0</v>
          </cell>
          <cell r="W898">
            <v>0</v>
          </cell>
          <cell r="X898">
            <v>0</v>
          </cell>
          <cell r="Y898">
            <v>0</v>
          </cell>
          <cell r="Z898">
            <v>0</v>
          </cell>
          <cell r="AA898">
            <v>0</v>
          </cell>
          <cell r="BC898">
            <v>0</v>
          </cell>
          <cell r="BD898">
            <v>0</v>
          </cell>
          <cell r="BE898">
            <v>0</v>
          </cell>
          <cell r="BF898">
            <v>0</v>
          </cell>
          <cell r="BG898">
            <v>0</v>
          </cell>
        </row>
        <row r="899">
          <cell r="E899">
            <v>0</v>
          </cell>
          <cell r="W899">
            <v>0</v>
          </cell>
          <cell r="X899">
            <v>0</v>
          </cell>
          <cell r="Y899">
            <v>0</v>
          </cell>
          <cell r="Z899">
            <v>0</v>
          </cell>
          <cell r="AA899">
            <v>0</v>
          </cell>
          <cell r="BC899">
            <v>0</v>
          </cell>
          <cell r="BD899">
            <v>0</v>
          </cell>
          <cell r="BE899">
            <v>0</v>
          </cell>
          <cell r="BF899">
            <v>0</v>
          </cell>
          <cell r="BG899">
            <v>0</v>
          </cell>
        </row>
        <row r="900">
          <cell r="E900">
            <v>0</v>
          </cell>
          <cell r="W900">
            <v>0</v>
          </cell>
          <cell r="X900">
            <v>0</v>
          </cell>
          <cell r="Y900">
            <v>0</v>
          </cell>
          <cell r="Z900">
            <v>0</v>
          </cell>
          <cell r="AA900">
            <v>0</v>
          </cell>
          <cell r="BC900">
            <v>0</v>
          </cell>
          <cell r="BD900">
            <v>0</v>
          </cell>
          <cell r="BE900">
            <v>0</v>
          </cell>
          <cell r="BF900">
            <v>0</v>
          </cell>
          <cell r="BG900">
            <v>0</v>
          </cell>
        </row>
        <row r="901">
          <cell r="E901">
            <v>0</v>
          </cell>
          <cell r="W901">
            <v>0</v>
          </cell>
          <cell r="X901">
            <v>0</v>
          </cell>
          <cell r="Y901">
            <v>0</v>
          </cell>
          <cell r="Z901">
            <v>0</v>
          </cell>
          <cell r="AA901">
            <v>0</v>
          </cell>
          <cell r="BC901">
            <v>0</v>
          </cell>
          <cell r="BD901">
            <v>0</v>
          </cell>
          <cell r="BE901">
            <v>0</v>
          </cell>
          <cell r="BF901">
            <v>0</v>
          </cell>
          <cell r="BG901">
            <v>0</v>
          </cell>
        </row>
        <row r="902">
          <cell r="E902">
            <v>0</v>
          </cell>
          <cell r="W902">
            <v>0</v>
          </cell>
          <cell r="X902">
            <v>0</v>
          </cell>
          <cell r="Y902">
            <v>0</v>
          </cell>
          <cell r="Z902">
            <v>0</v>
          </cell>
          <cell r="AA902">
            <v>0</v>
          </cell>
          <cell r="BC902">
            <v>0</v>
          </cell>
          <cell r="BD902">
            <v>0</v>
          </cell>
          <cell r="BE902">
            <v>0</v>
          </cell>
          <cell r="BF902">
            <v>0</v>
          </cell>
          <cell r="BG902">
            <v>0</v>
          </cell>
        </row>
        <row r="903">
          <cell r="E903">
            <v>0</v>
          </cell>
          <cell r="W903">
            <v>0</v>
          </cell>
          <cell r="X903">
            <v>0</v>
          </cell>
          <cell r="Y903">
            <v>0</v>
          </cell>
          <cell r="Z903">
            <v>0</v>
          </cell>
          <cell r="AA903">
            <v>0</v>
          </cell>
          <cell r="BC903">
            <v>0</v>
          </cell>
          <cell r="BD903">
            <v>0</v>
          </cell>
          <cell r="BE903">
            <v>0</v>
          </cell>
          <cell r="BF903">
            <v>0</v>
          </cell>
          <cell r="BG903">
            <v>0</v>
          </cell>
        </row>
        <row r="904">
          <cell r="E904">
            <v>0</v>
          </cell>
          <cell r="W904">
            <v>0</v>
          </cell>
          <cell r="X904">
            <v>0</v>
          </cell>
          <cell r="Y904">
            <v>0</v>
          </cell>
          <cell r="Z904">
            <v>0</v>
          </cell>
          <cell r="AA904">
            <v>0</v>
          </cell>
          <cell r="BC904">
            <v>0</v>
          </cell>
          <cell r="BD904">
            <v>0</v>
          </cell>
          <cell r="BE904">
            <v>0</v>
          </cell>
          <cell r="BF904">
            <v>0</v>
          </cell>
          <cell r="BG904">
            <v>0</v>
          </cell>
        </row>
        <row r="905">
          <cell r="E905">
            <v>0</v>
          </cell>
          <cell r="W905">
            <v>0</v>
          </cell>
          <cell r="X905">
            <v>0</v>
          </cell>
          <cell r="Y905">
            <v>0</v>
          </cell>
          <cell r="Z905">
            <v>0</v>
          </cell>
          <cell r="AA905">
            <v>0</v>
          </cell>
          <cell r="BC905">
            <v>0</v>
          </cell>
          <cell r="BD905">
            <v>0</v>
          </cell>
          <cell r="BE905">
            <v>0</v>
          </cell>
          <cell r="BF905">
            <v>0</v>
          </cell>
          <cell r="BG905">
            <v>0</v>
          </cell>
        </row>
        <row r="906">
          <cell r="E906">
            <v>0</v>
          </cell>
          <cell r="W906">
            <v>0</v>
          </cell>
          <cell r="X906">
            <v>0</v>
          </cell>
          <cell r="Y906">
            <v>0</v>
          </cell>
          <cell r="Z906">
            <v>0</v>
          </cell>
          <cell r="AA906">
            <v>0</v>
          </cell>
          <cell r="BC906">
            <v>0</v>
          </cell>
          <cell r="BD906">
            <v>0</v>
          </cell>
          <cell r="BE906">
            <v>0</v>
          </cell>
          <cell r="BF906">
            <v>0</v>
          </cell>
          <cell r="BG906">
            <v>0</v>
          </cell>
        </row>
        <row r="907">
          <cell r="E907">
            <v>0</v>
          </cell>
          <cell r="W907">
            <v>0</v>
          </cell>
          <cell r="X907">
            <v>0</v>
          </cell>
          <cell r="Y907">
            <v>0</v>
          </cell>
          <cell r="Z907">
            <v>0</v>
          </cell>
          <cell r="AA907">
            <v>0</v>
          </cell>
          <cell r="BC907">
            <v>0</v>
          </cell>
          <cell r="BD907">
            <v>0</v>
          </cell>
          <cell r="BE907">
            <v>0</v>
          </cell>
          <cell r="BF907">
            <v>0</v>
          </cell>
          <cell r="BG907">
            <v>0</v>
          </cell>
        </row>
        <row r="908">
          <cell r="E908">
            <v>0</v>
          </cell>
          <cell r="W908">
            <v>0</v>
          </cell>
          <cell r="X908">
            <v>0</v>
          </cell>
          <cell r="Y908">
            <v>0</v>
          </cell>
          <cell r="Z908">
            <v>0</v>
          </cell>
          <cell r="AA908">
            <v>0</v>
          </cell>
          <cell r="BC908">
            <v>0</v>
          </cell>
          <cell r="BD908">
            <v>0</v>
          </cell>
          <cell r="BE908">
            <v>0</v>
          </cell>
          <cell r="BF908">
            <v>0</v>
          </cell>
          <cell r="BG908">
            <v>0</v>
          </cell>
        </row>
        <row r="909">
          <cell r="E909">
            <v>0</v>
          </cell>
          <cell r="W909">
            <v>0</v>
          </cell>
          <cell r="X909">
            <v>0</v>
          </cell>
          <cell r="Y909">
            <v>0</v>
          </cell>
          <cell r="Z909">
            <v>0</v>
          </cell>
          <cell r="AA909">
            <v>0</v>
          </cell>
          <cell r="BC909">
            <v>0</v>
          </cell>
          <cell r="BD909">
            <v>0</v>
          </cell>
          <cell r="BE909">
            <v>0</v>
          </cell>
          <cell r="BF909">
            <v>0</v>
          </cell>
          <cell r="BG909">
            <v>0</v>
          </cell>
        </row>
        <row r="910">
          <cell r="E910">
            <v>0</v>
          </cell>
          <cell r="W910">
            <v>0</v>
          </cell>
          <cell r="X910">
            <v>0</v>
          </cell>
          <cell r="Y910">
            <v>0</v>
          </cell>
          <cell r="Z910">
            <v>0</v>
          </cell>
          <cell r="AA910">
            <v>0</v>
          </cell>
          <cell r="BC910">
            <v>0</v>
          </cell>
          <cell r="BD910">
            <v>0</v>
          </cell>
          <cell r="BE910">
            <v>0</v>
          </cell>
          <cell r="BF910">
            <v>0</v>
          </cell>
          <cell r="BG910">
            <v>0</v>
          </cell>
        </row>
        <row r="911">
          <cell r="E911">
            <v>0</v>
          </cell>
          <cell r="W911">
            <v>0</v>
          </cell>
          <cell r="X911">
            <v>0</v>
          </cell>
          <cell r="Y911">
            <v>0</v>
          </cell>
          <cell r="Z911">
            <v>0</v>
          </cell>
          <cell r="AA911">
            <v>0</v>
          </cell>
          <cell r="BC911">
            <v>0</v>
          </cell>
          <cell r="BD911">
            <v>0</v>
          </cell>
          <cell r="BE911">
            <v>0</v>
          </cell>
          <cell r="BF911">
            <v>0</v>
          </cell>
          <cell r="BG911">
            <v>0</v>
          </cell>
        </row>
        <row r="912">
          <cell r="E912">
            <v>0</v>
          </cell>
          <cell r="W912">
            <v>0</v>
          </cell>
          <cell r="X912">
            <v>0</v>
          </cell>
          <cell r="Y912">
            <v>0</v>
          </cell>
          <cell r="Z912">
            <v>0</v>
          </cell>
          <cell r="AA912">
            <v>0</v>
          </cell>
          <cell r="BC912">
            <v>0</v>
          </cell>
          <cell r="BD912">
            <v>0</v>
          </cell>
          <cell r="BE912">
            <v>0</v>
          </cell>
          <cell r="BF912">
            <v>0</v>
          </cell>
          <cell r="BG912">
            <v>0</v>
          </cell>
        </row>
        <row r="913">
          <cell r="E913">
            <v>0</v>
          </cell>
          <cell r="W913">
            <v>0</v>
          </cell>
          <cell r="X913">
            <v>0</v>
          </cell>
          <cell r="Y913">
            <v>0</v>
          </cell>
          <cell r="Z913">
            <v>0</v>
          </cell>
          <cell r="AA913">
            <v>0</v>
          </cell>
          <cell r="BC913">
            <v>0</v>
          </cell>
          <cell r="BD913">
            <v>0</v>
          </cell>
          <cell r="BE913">
            <v>0</v>
          </cell>
          <cell r="BF913">
            <v>0</v>
          </cell>
          <cell r="BG913">
            <v>0</v>
          </cell>
        </row>
        <row r="914">
          <cell r="E914">
            <v>0</v>
          </cell>
          <cell r="W914">
            <v>0</v>
          </cell>
          <cell r="X914">
            <v>0</v>
          </cell>
          <cell r="Y914">
            <v>0</v>
          </cell>
          <cell r="Z914">
            <v>0</v>
          </cell>
          <cell r="AA914">
            <v>0</v>
          </cell>
          <cell r="BC914">
            <v>0</v>
          </cell>
          <cell r="BD914">
            <v>0</v>
          </cell>
          <cell r="BE914">
            <v>0</v>
          </cell>
          <cell r="BF914">
            <v>0</v>
          </cell>
          <cell r="BG914">
            <v>0</v>
          </cell>
        </row>
        <row r="915">
          <cell r="E915">
            <v>0</v>
          </cell>
          <cell r="W915">
            <v>0</v>
          </cell>
          <cell r="X915">
            <v>0</v>
          </cell>
          <cell r="Y915">
            <v>0</v>
          </cell>
          <cell r="Z915">
            <v>0</v>
          </cell>
          <cell r="AA915">
            <v>0</v>
          </cell>
          <cell r="BC915">
            <v>0</v>
          </cell>
          <cell r="BD915">
            <v>0</v>
          </cell>
          <cell r="BE915">
            <v>0</v>
          </cell>
          <cell r="BF915">
            <v>0</v>
          </cell>
          <cell r="BG915">
            <v>0</v>
          </cell>
        </row>
        <row r="916">
          <cell r="E916">
            <v>0</v>
          </cell>
          <cell r="W916">
            <v>0</v>
          </cell>
          <cell r="X916">
            <v>0</v>
          </cell>
          <cell r="Y916">
            <v>0</v>
          </cell>
          <cell r="Z916">
            <v>0</v>
          </cell>
          <cell r="AA916">
            <v>0</v>
          </cell>
          <cell r="BC916">
            <v>0</v>
          </cell>
          <cell r="BD916">
            <v>0</v>
          </cell>
          <cell r="BE916">
            <v>0</v>
          </cell>
          <cell r="BF916">
            <v>0</v>
          </cell>
          <cell r="BG916">
            <v>0</v>
          </cell>
        </row>
        <row r="917">
          <cell r="E917">
            <v>0</v>
          </cell>
          <cell r="W917">
            <v>0</v>
          </cell>
          <cell r="X917">
            <v>0</v>
          </cell>
          <cell r="Y917">
            <v>0</v>
          </cell>
          <cell r="Z917">
            <v>0</v>
          </cell>
          <cell r="AA917">
            <v>0</v>
          </cell>
          <cell r="BC917">
            <v>0</v>
          </cell>
          <cell r="BD917">
            <v>0</v>
          </cell>
          <cell r="BE917">
            <v>0</v>
          </cell>
          <cell r="BF917">
            <v>0</v>
          </cell>
          <cell r="BG917">
            <v>0</v>
          </cell>
        </row>
        <row r="918">
          <cell r="E918">
            <v>0</v>
          </cell>
          <cell r="W918">
            <v>0</v>
          </cell>
          <cell r="X918">
            <v>0</v>
          </cell>
          <cell r="Y918">
            <v>0</v>
          </cell>
          <cell r="Z918">
            <v>0</v>
          </cell>
          <cell r="AA918">
            <v>0</v>
          </cell>
          <cell r="BC918">
            <v>0</v>
          </cell>
          <cell r="BD918">
            <v>0</v>
          </cell>
          <cell r="BE918">
            <v>0</v>
          </cell>
          <cell r="BF918">
            <v>0</v>
          </cell>
          <cell r="BG918">
            <v>0</v>
          </cell>
        </row>
        <row r="919">
          <cell r="E919">
            <v>0</v>
          </cell>
          <cell r="W919">
            <v>0</v>
          </cell>
          <cell r="X919">
            <v>0</v>
          </cell>
          <cell r="Y919">
            <v>0</v>
          </cell>
          <cell r="Z919">
            <v>0</v>
          </cell>
          <cell r="AA919">
            <v>0</v>
          </cell>
          <cell r="BC919">
            <v>0</v>
          </cell>
          <cell r="BD919">
            <v>0</v>
          </cell>
          <cell r="BE919">
            <v>0</v>
          </cell>
          <cell r="BF919">
            <v>0</v>
          </cell>
          <cell r="BG919">
            <v>0</v>
          </cell>
        </row>
        <row r="920">
          <cell r="E920">
            <v>0</v>
          </cell>
          <cell r="W920">
            <v>0</v>
          </cell>
          <cell r="X920">
            <v>0</v>
          </cell>
          <cell r="Y920">
            <v>0</v>
          </cell>
          <cell r="Z920">
            <v>0</v>
          </cell>
          <cell r="AA920">
            <v>0</v>
          </cell>
          <cell r="BC920">
            <v>0</v>
          </cell>
          <cell r="BD920">
            <v>0</v>
          </cell>
          <cell r="BE920">
            <v>0</v>
          </cell>
          <cell r="BF920">
            <v>0</v>
          </cell>
          <cell r="BG920">
            <v>0</v>
          </cell>
        </row>
        <row r="921">
          <cell r="E921">
            <v>0</v>
          </cell>
          <cell r="W921">
            <v>0</v>
          </cell>
          <cell r="X921">
            <v>0</v>
          </cell>
          <cell r="Y921">
            <v>0</v>
          </cell>
          <cell r="Z921">
            <v>0</v>
          </cell>
          <cell r="AA921">
            <v>0</v>
          </cell>
          <cell r="BC921">
            <v>0</v>
          </cell>
          <cell r="BD921">
            <v>0</v>
          </cell>
          <cell r="BE921">
            <v>0</v>
          </cell>
          <cell r="BF921">
            <v>0</v>
          </cell>
          <cell r="BG921">
            <v>0</v>
          </cell>
        </row>
        <row r="922">
          <cell r="E922">
            <v>0</v>
          </cell>
          <cell r="W922" t="str">
            <v>M1644</v>
          </cell>
          <cell r="X922" t="str">
            <v>Bit de botão esférico - D = 9 7/8"</v>
          </cell>
          <cell r="Y922" t="str">
            <v>un</v>
          </cell>
          <cell r="Z922">
            <v>9690.8279000000002</v>
          </cell>
          <cell r="AA922">
            <v>0</v>
          </cell>
          <cell r="BC922">
            <v>5915405</v>
          </cell>
          <cell r="BD922" t="str">
            <v>Carga, manobra e descarga de material de 3ª categoria, rocha ou matacão solto em caminhão basculante de 8 m³ - carga com carregadeira e descarga livre</v>
          </cell>
          <cell r="BE922" t="str">
            <v>t</v>
          </cell>
          <cell r="BF922">
            <v>2.93</v>
          </cell>
          <cell r="BG922">
            <v>0</v>
          </cell>
        </row>
        <row r="923">
          <cell r="E923">
            <v>0</v>
          </cell>
          <cell r="W923" t="str">
            <v>M0669</v>
          </cell>
          <cell r="X923" t="str">
            <v>Martelo de fundo DTH - D = 8"</v>
          </cell>
          <cell r="Y923" t="str">
            <v>un</v>
          </cell>
          <cell r="Z923">
            <v>24685.015800000001</v>
          </cell>
          <cell r="AA923">
            <v>0</v>
          </cell>
          <cell r="BC923" t="str">
            <v>COT008</v>
          </cell>
          <cell r="BD923" t="str">
            <v>Fornecimento de Formas, Andaimes e Escoramento (incluso retirada e devolução) - FORMA APARENTE TREPANTE</v>
          </cell>
          <cell r="BE923" t="str">
            <v>m²</v>
          </cell>
          <cell r="BF923">
            <v>35.699999999999996</v>
          </cell>
          <cell r="BG923">
            <v>0</v>
          </cell>
        </row>
        <row r="924">
          <cell r="E924">
            <v>0</v>
          </cell>
          <cell r="W924" t="str">
            <v>M1134</v>
          </cell>
          <cell r="X924" t="str">
            <v>Junta em perfil extrudado de borracha vulcanizada de 25 x 50 mm</v>
          </cell>
          <cell r="Y924" t="str">
            <v>m</v>
          </cell>
          <cell r="Z924">
            <v>364</v>
          </cell>
          <cell r="AA924">
            <v>0</v>
          </cell>
          <cell r="BC924" t="str">
            <v>COT009</v>
          </cell>
          <cell r="BD924" t="str">
            <v>Fornecimento de Formas, Andaimes e Escoramento (incluso retirada e devolução) - FORMA DESLIZANTE PARA PILARES</v>
          </cell>
          <cell r="BE924" t="str">
            <v>m²</v>
          </cell>
          <cell r="BF924">
            <v>124.19999999999999</v>
          </cell>
          <cell r="BG924">
            <v>0</v>
          </cell>
        </row>
        <row r="925">
          <cell r="E925">
            <v>0</v>
          </cell>
          <cell r="W925" t="str">
            <v>E9724</v>
          </cell>
          <cell r="X925" t="str">
            <v>Conjunto bomba e macaco hidráulico para protensão com capacidade de 4.000 kN</v>
          </cell>
          <cell r="Y925" t="str">
            <v>h</v>
          </cell>
          <cell r="Z925">
            <v>44.965800000000002</v>
          </cell>
          <cell r="AA925">
            <v>42.595999999999997</v>
          </cell>
          <cell r="BC925" t="str">
            <v>COT010</v>
          </cell>
          <cell r="BD925" t="str">
            <v>Fornecimento de Formas, Andaimes e Escoramento (incluso retirada e devolução) - FORMA CURVA TREPANTE PARA PILARES</v>
          </cell>
          <cell r="BE925" t="str">
            <v>m²</v>
          </cell>
          <cell r="BF925">
            <v>26.7</v>
          </cell>
          <cell r="BG925">
            <v>0</v>
          </cell>
        </row>
        <row r="926">
          <cell r="E926">
            <v>0</v>
          </cell>
          <cell r="W926" t="str">
            <v>M0113</v>
          </cell>
          <cell r="X926" t="str">
            <v>Ancoragem ativa em ferro fundido nodular para 12 cordoalhas - D = 15,2 mm</v>
          </cell>
          <cell r="Y926" t="str">
            <v>un</v>
          </cell>
          <cell r="Z926">
            <v>2065.1408999999999</v>
          </cell>
          <cell r="AA926">
            <v>0</v>
          </cell>
          <cell r="BC926" t="str">
            <v>COT011</v>
          </cell>
          <cell r="BD926" t="str">
            <v>Fornecimento de Formas, Andaimes e Escoramento (incluso retirada e devolução) - FORMA TREPANTE PARA PILARES</v>
          </cell>
          <cell r="BE926" t="str">
            <v>m²</v>
          </cell>
          <cell r="BF926">
            <v>35.699999999999996</v>
          </cell>
          <cell r="BG926">
            <v>0</v>
          </cell>
        </row>
        <row r="927">
          <cell r="E927">
            <v>0</v>
          </cell>
          <cell r="W927" t="str">
            <v>E9725</v>
          </cell>
          <cell r="X927" t="str">
            <v>Conjunto bomba e macaco hidráulico para protensão com capacidade de 5.400 kN</v>
          </cell>
          <cell r="Y927" t="str">
            <v>h</v>
          </cell>
          <cell r="Z927">
            <v>45.341000000000001</v>
          </cell>
          <cell r="AA927">
            <v>42.808100000000003</v>
          </cell>
          <cell r="BC927" t="str">
            <v>E9679</v>
          </cell>
          <cell r="BD927" t="str">
            <v>Cavalo mecânico com reboque de 6 eixos com capacidade de 207 t - 440</v>
          </cell>
          <cell r="BE927" t="str">
            <v>t</v>
          </cell>
          <cell r="BF927">
            <v>670.29259999999999</v>
          </cell>
          <cell r="BG927">
            <v>250.08340000000001</v>
          </cell>
        </row>
        <row r="928">
          <cell r="E928">
            <v>0</v>
          </cell>
          <cell r="W928" t="str">
            <v>M0138</v>
          </cell>
          <cell r="X928" t="str">
            <v>Ancoragem ativa em ferro fundido nodular para 19 cordoalhas - D = 15,2 mm</v>
          </cell>
          <cell r="Y928" t="str">
            <v>un</v>
          </cell>
          <cell r="Z928">
            <v>3824.7334000000001</v>
          </cell>
          <cell r="AA928">
            <v>0</v>
          </cell>
          <cell r="BC928" t="str">
            <v>COT012</v>
          </cell>
          <cell r="BD928" t="str">
            <v>Fornecimento de Barreira Móvel de concreto com equipamento</v>
          </cell>
          <cell r="BE928" t="str">
            <v>m</v>
          </cell>
          <cell r="BF928">
            <v>4244.833846153846</v>
          </cell>
          <cell r="BG928">
            <v>0</v>
          </cell>
        </row>
        <row r="929">
          <cell r="E929">
            <v>0</v>
          </cell>
          <cell r="W929" t="str">
            <v>M0130</v>
          </cell>
          <cell r="X929" t="str">
            <v>Ancoragem ativa em ferro fundido nodular para 15 cordoalhas - D = 15,2 mm</v>
          </cell>
          <cell r="Y929" t="str">
            <v>un</v>
          </cell>
          <cell r="Z929">
            <v>3144.4708000000001</v>
          </cell>
          <cell r="AA929">
            <v>0</v>
          </cell>
          <cell r="BC929" t="str">
            <v>COT013</v>
          </cell>
          <cell r="BD929" t="str">
            <v>Guindaste 30t</v>
          </cell>
          <cell r="BE929" t="str">
            <v>undxmês</v>
          </cell>
          <cell r="BF929">
            <v>32000</v>
          </cell>
          <cell r="BG929">
            <v>0</v>
          </cell>
        </row>
        <row r="930">
          <cell r="E930">
            <v>0</v>
          </cell>
          <cell r="W930" t="str">
            <v>M2420</v>
          </cell>
          <cell r="X930" t="str">
            <v>Parafuso cabeça abaulada M8 com porca e arruela</v>
          </cell>
          <cell r="Y930" t="str">
            <v>un</v>
          </cell>
          <cell r="Z930">
            <v>1.369</v>
          </cell>
          <cell r="AA930">
            <v>0</v>
          </cell>
          <cell r="BC930" t="str">
            <v>M0786</v>
          </cell>
          <cell r="BD930" t="str">
            <v>Isopor</v>
          </cell>
          <cell r="BE930" t="str">
            <v>m³</v>
          </cell>
          <cell r="BF930">
            <v>250</v>
          </cell>
          <cell r="BG930">
            <v>0</v>
          </cell>
        </row>
        <row r="931">
          <cell r="E931">
            <v>0</v>
          </cell>
          <cell r="W931" t="str">
            <v>M0285</v>
          </cell>
          <cell r="X931" t="str">
            <v>Pontalete para escoramento - D = 15 cm</v>
          </cell>
          <cell r="Y931" t="str">
            <v>m</v>
          </cell>
          <cell r="Z931">
            <v>9.7772000000000006</v>
          </cell>
          <cell r="AA931">
            <v>0</v>
          </cell>
          <cell r="BC931">
            <v>3108018</v>
          </cell>
          <cell r="BD931" t="str">
            <v>Guia de madeira de 2,5 x 7,0 cm - confecção e instalação</v>
          </cell>
          <cell r="BE931" t="str">
            <v>m</v>
          </cell>
          <cell r="BF931">
            <v>2.4500000000000002</v>
          </cell>
          <cell r="BG931">
            <v>0</v>
          </cell>
        </row>
        <row r="932">
          <cell r="E932">
            <v>0</v>
          </cell>
          <cell r="W932" t="str">
            <v>E9659</v>
          </cell>
          <cell r="X932" t="str">
            <v>Campânula de ar comprimido com capacidade de 3 m³</v>
          </cell>
          <cell r="Y932" t="str">
            <v>h</v>
          </cell>
          <cell r="Z932">
            <v>40.506300000000003</v>
          </cell>
          <cell r="AA932">
            <v>36.780500000000004</v>
          </cell>
          <cell r="BC932" t="str">
            <v>E9640</v>
          </cell>
          <cell r="BD932" t="str">
            <v>Compressor de ar portátil de 71 PCM - 15 kW</v>
          </cell>
          <cell r="BE932" t="str">
            <v>h</v>
          </cell>
          <cell r="BF932">
            <v>13.694800000000001</v>
          </cell>
          <cell r="BG932">
            <v>3.3942000000000001</v>
          </cell>
        </row>
        <row r="933">
          <cell r="E933">
            <v>0</v>
          </cell>
          <cell r="W933" t="str">
            <v>M0421</v>
          </cell>
          <cell r="X933" t="str">
            <v>Cimento expansivo (tipo Demox)</v>
          </cell>
          <cell r="Y933" t="str">
            <v>kg</v>
          </cell>
          <cell r="Z933">
            <v>4.5</v>
          </cell>
          <cell r="AA933">
            <v>0</v>
          </cell>
          <cell r="BC933">
            <v>4816128</v>
          </cell>
          <cell r="BD933" t="str">
            <v>Fabricação de mourão de concreto esticador - seção quadradade 15 cm - areia extraída e brita produzida</v>
          </cell>
          <cell r="BE933" t="str">
            <v>und</v>
          </cell>
          <cell r="BF933">
            <v>30.37</v>
          </cell>
          <cell r="BG933">
            <v>0</v>
          </cell>
        </row>
        <row r="934">
          <cell r="E934">
            <v>0</v>
          </cell>
          <cell r="W934">
            <v>1207708</v>
          </cell>
          <cell r="X934" t="str">
            <v xml:space="preserve">Concreto fck = 30 MPa para projeção via úmida - confecção em central dosadora de 30 m³/h </v>
          </cell>
          <cell r="Y934" t="str">
            <v>m³</v>
          </cell>
          <cell r="Z934">
            <v>350.14</v>
          </cell>
          <cell r="AA934">
            <v>0</v>
          </cell>
          <cell r="BC934">
            <v>4816130</v>
          </cell>
          <cell r="BD934" t="str">
            <v>Fabricação de mourão de concreto suporte - seção quadrada de 11 cm - areia extraída e brita produzida</v>
          </cell>
          <cell r="BE934" t="str">
            <v>und</v>
          </cell>
          <cell r="BF934">
            <v>19.55</v>
          </cell>
          <cell r="BG934">
            <v>0</v>
          </cell>
        </row>
        <row r="935">
          <cell r="E935">
            <v>0</v>
          </cell>
          <cell r="W935" t="str">
            <v>E9007</v>
          </cell>
          <cell r="X935" t="str">
            <v>Bomba de pistão triplex com capacidade de 130 l/min - 8,2 kW</v>
          </cell>
          <cell r="Y935" t="str">
            <v xml:space="preserve">H     </v>
          </cell>
          <cell r="Z935">
            <v>10.186</v>
          </cell>
          <cell r="AA935">
            <v>3.4748000000000001</v>
          </cell>
          <cell r="BC935">
            <v>0</v>
          </cell>
          <cell r="BD935">
            <v>0</v>
          </cell>
          <cell r="BE935">
            <v>0</v>
          </cell>
          <cell r="BF935">
            <v>0</v>
          </cell>
          <cell r="BG935">
            <v>0</v>
          </cell>
        </row>
        <row r="936">
          <cell r="E936">
            <v>0</v>
          </cell>
          <cell r="W936" t="str">
            <v>E9017</v>
          </cell>
          <cell r="X936" t="str">
            <v>Escavadeira hidráulica sobre esteira com capacidade de 0,4 m³ - 64 kW</v>
          </cell>
          <cell r="Y936" t="str">
            <v xml:space="preserve">H     </v>
          </cell>
          <cell r="Z936">
            <v>131.292</v>
          </cell>
          <cell r="AA936">
            <v>68.343900000000005</v>
          </cell>
          <cell r="BC936">
            <v>21127</v>
          </cell>
          <cell r="BD936" t="str">
            <v>FITA ISOLANTE ADESIVA ANTICHAMA, USO ATE 750 V, EM ROLO DE 19 MM X 5 M</v>
          </cell>
          <cell r="BE936" t="str">
            <v>und</v>
          </cell>
          <cell r="BF936">
            <v>2.66</v>
          </cell>
          <cell r="BG936">
            <v>0</v>
          </cell>
        </row>
        <row r="937">
          <cell r="E937">
            <v>0</v>
          </cell>
          <cell r="W937" t="str">
            <v>E9068</v>
          </cell>
          <cell r="X937" t="str">
            <v>Perfuratriz hidráulica rotopercussiva para CCPH - 123 kW</v>
          </cell>
          <cell r="Y937" t="str">
            <v xml:space="preserve">H     </v>
          </cell>
          <cell r="Z937">
            <v>449.88470000000001</v>
          </cell>
          <cell r="AA937">
            <v>229.2131</v>
          </cell>
          <cell r="BC937">
            <v>14165</v>
          </cell>
          <cell r="BD937" t="str">
            <v>POSTE CONICO CONTINUO EM ACO GALVANIZADO, RETO, ENGASTADO,  H = 9 M, DIAMETRO INFERIOR = *145* MM</v>
          </cell>
          <cell r="BE937" t="str">
            <v>und</v>
          </cell>
          <cell r="BF937">
            <v>1088.5</v>
          </cell>
          <cell r="BG937">
            <v>0</v>
          </cell>
        </row>
        <row r="938">
          <cell r="E938">
            <v>0</v>
          </cell>
          <cell r="W938" t="str">
            <v>E9086</v>
          </cell>
          <cell r="X938" t="str">
            <v>Bomba de concreto rebocável com capacidade de 41 m³/h - 74 Kw</v>
          </cell>
          <cell r="Y938" t="str">
            <v xml:space="preserve">H     </v>
          </cell>
          <cell r="Z938">
            <v>118.2239</v>
          </cell>
          <cell r="AA938">
            <v>56.555199999999999</v>
          </cell>
          <cell r="BC938">
            <v>122</v>
          </cell>
          <cell r="BD938" t="str">
            <v>ADESIVO PLASTICO PARA PVC, FRASCO COM 850 GR</v>
          </cell>
          <cell r="BE938" t="str">
            <v>und</v>
          </cell>
          <cell r="BF938">
            <v>50.22</v>
          </cell>
          <cell r="BG938">
            <v>0</v>
          </cell>
        </row>
        <row r="939">
          <cell r="E939">
            <v>0</v>
          </cell>
          <cell r="W939" t="str">
            <v>E9200</v>
          </cell>
          <cell r="X939" t="str">
            <v>Carregadeira de pneus com capacidade 3,3 m³ - 213 kW com periculosidade</v>
          </cell>
          <cell r="Y939" t="str">
            <v xml:space="preserve">H     </v>
          </cell>
          <cell r="Z939">
            <v>327.22460000000001</v>
          </cell>
          <cell r="AA939">
            <v>137.92500000000001</v>
          </cell>
          <cell r="BC939">
            <v>20083</v>
          </cell>
          <cell r="BD939" t="str">
            <v>SOLUCAO LIMPADORA PARA PVC, FRASCO COM 1000 CM3</v>
          </cell>
          <cell r="BE939" t="str">
            <v>und</v>
          </cell>
          <cell r="BF939">
            <v>43.61</v>
          </cell>
          <cell r="BG939">
            <v>0</v>
          </cell>
        </row>
        <row r="940">
          <cell r="E940">
            <v>0</v>
          </cell>
          <cell r="W940" t="str">
            <v>E9201</v>
          </cell>
          <cell r="X940" t="str">
            <v>Caminhão basculante para rocha com capacidade de 12 m³ - 323 kW com periculosidade</v>
          </cell>
          <cell r="Y940" t="str">
            <v xml:space="preserve">H     </v>
          </cell>
          <cell r="Z940">
            <v>189.03219999999999</v>
          </cell>
          <cell r="AA940">
            <v>65.5291</v>
          </cell>
          <cell r="BC940">
            <v>38025</v>
          </cell>
          <cell r="BD940" t="str">
            <v>CURVA DE TRANSPOSICAO, PVC, SOLDAVEL, 25 MM, PARA AGUA FRIA PREDIAL</v>
          </cell>
          <cell r="BE940" t="str">
            <v>und</v>
          </cell>
          <cell r="BF940">
            <v>5.3</v>
          </cell>
          <cell r="BG940">
            <v>0</v>
          </cell>
        </row>
        <row r="941">
          <cell r="E941">
            <v>0</v>
          </cell>
          <cell r="W941" t="str">
            <v>E9202</v>
          </cell>
          <cell r="X941" t="str">
            <v>Plataforma pantográfica montada em caminhão - 115 kW com periculosidade</v>
          </cell>
          <cell r="Y941" t="str">
            <v xml:space="preserve">H     </v>
          </cell>
          <cell r="Z941">
            <v>206.62979999999999</v>
          </cell>
          <cell r="AA941">
            <v>112.8133</v>
          </cell>
          <cell r="BC941">
            <v>38383</v>
          </cell>
          <cell r="BD941" t="str">
            <v>LIXA D'AGUA EM FOLHA, GRAO 100</v>
          </cell>
          <cell r="BE941" t="str">
            <v>und</v>
          </cell>
          <cell r="BF941">
            <v>2.06</v>
          </cell>
          <cell r="BG941">
            <v>0</v>
          </cell>
        </row>
        <row r="942">
          <cell r="E942">
            <v>0</v>
          </cell>
          <cell r="W942" t="str">
            <v>E9203</v>
          </cell>
          <cell r="X942" t="str">
            <v>Escavadeira hidráulica com martelo hidráulico 1.700 kg - 103 kW com periculosidade</v>
          </cell>
          <cell r="Y942" t="str">
            <v xml:space="preserve">H     </v>
          </cell>
          <cell r="Z942">
            <v>363.2201</v>
          </cell>
          <cell r="AA942">
            <v>169.50569999999999</v>
          </cell>
          <cell r="BC942">
            <v>5051</v>
          </cell>
          <cell r="BD942" t="str">
            <v>POSTE CONICO CONTINUO EM ACO GALVANIZADO, CURVO, BRACO SIMPLES, ENGASTADO,  H = 9 M, DIAMETRO INFERIOR = *135* MM</v>
          </cell>
          <cell r="BE942" t="str">
            <v>und</v>
          </cell>
          <cell r="BF942">
            <v>1041.3499999999999</v>
          </cell>
          <cell r="BG942">
            <v>0</v>
          </cell>
        </row>
        <row r="943">
          <cell r="E943">
            <v>0</v>
          </cell>
          <cell r="W943" t="str">
            <v>E9213</v>
          </cell>
          <cell r="X943" t="str">
            <v>Jumbo eletro-hidráulico com 3 braços - 233 kW com periculosidade</v>
          </cell>
          <cell r="Y943" t="str">
            <v xml:space="preserve">H     </v>
          </cell>
          <cell r="Z943">
            <v>1429.3782000000001</v>
          </cell>
          <cell r="AA943">
            <v>682.50869999999998</v>
          </cell>
          <cell r="BC943">
            <v>34353</v>
          </cell>
          <cell r="BD943" t="str">
            <v>ARGAMASSA COLANTE AC-II</v>
          </cell>
          <cell r="BE943" t="str">
            <v>kg</v>
          </cell>
          <cell r="BF943">
            <v>0.94</v>
          </cell>
          <cell r="BG943">
            <v>0</v>
          </cell>
        </row>
        <row r="944">
          <cell r="E944">
            <v>0</v>
          </cell>
          <cell r="W944" t="str">
            <v>E9501</v>
          </cell>
          <cell r="X944" t="str">
            <v>Ventilador axial para ventilação forçada - 30 kW</v>
          </cell>
          <cell r="Y944" t="str">
            <v xml:space="preserve">H     </v>
          </cell>
          <cell r="Z944">
            <v>42.1173</v>
          </cell>
          <cell r="AA944">
            <v>27.075399999999998</v>
          </cell>
          <cell r="BC944">
            <v>91692</v>
          </cell>
          <cell r="BD944" t="str">
            <v>SERRA CIRCULAR DE BANCADA COM MOTOR ELÉTRICO POTÊNCIA DE 5HP, COM COIFA PARA DISCO 10" - CHP DIURNO. AF_08/2015</v>
          </cell>
          <cell r="BE944" t="str">
            <v>kg</v>
          </cell>
          <cell r="BF944">
            <v>30.18</v>
          </cell>
          <cell r="BG944">
            <v>0</v>
          </cell>
        </row>
        <row r="945">
          <cell r="E945">
            <v>0</v>
          </cell>
          <cell r="W945" t="str">
            <v>E9513</v>
          </cell>
          <cell r="X945" t="str">
            <v>Compressor de ar portátil de 340 PCM - 81 kW</v>
          </cell>
          <cell r="Y945" t="str">
            <v xml:space="preserve">H     </v>
          </cell>
          <cell r="Z945">
            <v>65.956100000000006</v>
          </cell>
          <cell r="AA945">
            <v>13.492699999999999</v>
          </cell>
          <cell r="BC945">
            <v>91693</v>
          </cell>
          <cell r="BD945" t="str">
            <v>SERRA CIRCULAR DE BANCADA COM MOTOR ELÉTRICO POTÊNCIA DE 5HP, COM COIFA PARA DISCO 10" - CHI DIURNO. AF_08/2015</v>
          </cell>
          <cell r="BE945" t="str">
            <v>h</v>
          </cell>
          <cell r="BF945">
            <v>28.34</v>
          </cell>
          <cell r="BG945">
            <v>0</v>
          </cell>
        </row>
        <row r="946">
          <cell r="E946">
            <v>0</v>
          </cell>
          <cell r="W946" t="str">
            <v>E9548</v>
          </cell>
          <cell r="X946" t="str">
            <v>Bomba centrífuga com capacidade de 8,6 a 22 m³/h - 1,5 kW</v>
          </cell>
          <cell r="Y946" t="str">
            <v>H</v>
          </cell>
          <cell r="Z946">
            <v>0.1215</v>
          </cell>
          <cell r="AA946">
            <v>7.0900000000000005E-2</v>
          </cell>
          <cell r="BC946">
            <v>88239</v>
          </cell>
          <cell r="BD946" t="str">
            <v>AJUDANTE DE CARPINTEIRO COM ENCARGOS COMPLEMENTARES</v>
          </cell>
          <cell r="BE946" t="str">
            <v>h</v>
          </cell>
          <cell r="BF946">
            <v>19.36</v>
          </cell>
          <cell r="BG946">
            <v>0</v>
          </cell>
        </row>
        <row r="947">
          <cell r="E947">
            <v>0</v>
          </cell>
          <cell r="W947" t="str">
            <v>E9614</v>
          </cell>
          <cell r="X947" t="str">
            <v>Bomba com câmara de vácuo - 5,6 kW</v>
          </cell>
          <cell r="Y947" t="str">
            <v>H</v>
          </cell>
          <cell r="Z947">
            <v>0.69930000000000003</v>
          </cell>
          <cell r="AA947">
            <v>0.40789999999999998</v>
          </cell>
          <cell r="BC947">
            <v>88262</v>
          </cell>
          <cell r="BD947" t="str">
            <v>CARPINTEIRO DE FORMAS COM ENCARGOS COMPLEMENTARES</v>
          </cell>
          <cell r="BE947" t="str">
            <v>h</v>
          </cell>
          <cell r="BF947">
            <v>23.2</v>
          </cell>
          <cell r="BG947">
            <v>0</v>
          </cell>
        </row>
        <row r="948">
          <cell r="E948">
            <v>0</v>
          </cell>
          <cell r="F948">
            <v>0</v>
          </cell>
          <cell r="K948">
            <v>0</v>
          </cell>
          <cell r="L948">
            <v>0</v>
          </cell>
          <cell r="W948" t="str">
            <v>E9630</v>
          </cell>
          <cell r="X948" t="str">
            <v>Bomba submersível com capacidade de 75 m³/h - 3,6 kW</v>
          </cell>
          <cell r="Y948" t="str">
            <v xml:space="preserve">H     </v>
          </cell>
          <cell r="Z948">
            <v>0.4975</v>
          </cell>
          <cell r="AA948">
            <v>0.29020000000000001</v>
          </cell>
          <cell r="BC948">
            <v>1345</v>
          </cell>
          <cell r="BD948" t="str">
            <v>CHAPA DE MADEIRA COMPENSADA PLASTIFICADA PARA FORMA DE CONCRETO, DE 2,20 x 1,10 M, E = 18 MM</v>
          </cell>
          <cell r="BE948" t="str">
            <v>m²</v>
          </cell>
          <cell r="BF948">
            <v>35.35</v>
          </cell>
          <cell r="BG948">
            <v>0</v>
          </cell>
        </row>
        <row r="949">
          <cell r="B949" t="str">
            <v>1. ENCARGOS SOCIAIS</v>
          </cell>
          <cell r="C949">
            <v>0</v>
          </cell>
          <cell r="D949">
            <v>0</v>
          </cell>
          <cell r="E949">
            <v>0</v>
          </cell>
          <cell r="F949">
            <v>0</v>
          </cell>
          <cell r="G949">
            <v>0</v>
          </cell>
          <cell r="H949">
            <v>0</v>
          </cell>
          <cell r="I949">
            <v>0</v>
          </cell>
          <cell r="J949">
            <v>0</v>
          </cell>
          <cell r="K949">
            <v>0</v>
          </cell>
          <cell r="L949">
            <v>0</v>
          </cell>
          <cell r="W949" t="str">
            <v>E9671</v>
          </cell>
          <cell r="X949" t="str">
            <v>Compressor de ar portátil de 748 PCM - 154 kW</v>
          </cell>
          <cell r="Y949" t="str">
            <v xml:space="preserve">H     </v>
          </cell>
          <cell r="Z949">
            <v>129.0848</v>
          </cell>
          <cell r="AA949">
            <v>27.710100000000001</v>
          </cell>
          <cell r="BC949">
            <v>4491</v>
          </cell>
          <cell r="BD949" t="str">
            <v>PECA DE MADEIRA NATIVA / REGIONAL 7,5 X 7,5CM (3X3) NAO APARELHADA (P/FORMA)</v>
          </cell>
          <cell r="BE949" t="str">
            <v>m</v>
          </cell>
          <cell r="BF949">
            <v>3.01</v>
          </cell>
          <cell r="BG949">
            <v>0</v>
          </cell>
        </row>
        <row r="950">
          <cell r="E950">
            <v>0</v>
          </cell>
          <cell r="F950">
            <v>0</v>
          </cell>
          <cell r="K950">
            <v>0</v>
          </cell>
          <cell r="L950">
            <v>0</v>
          </cell>
          <cell r="W950" t="str">
            <v>E9755</v>
          </cell>
          <cell r="X950" t="str">
            <v>Bomba de alta pressão para jet grouting 450 bar - 150 kW</v>
          </cell>
          <cell r="Y950" t="str">
            <v xml:space="preserve">H     </v>
          </cell>
          <cell r="Z950">
            <v>279.24459999999999</v>
          </cell>
          <cell r="AA950">
            <v>123.62649999999999</v>
          </cell>
          <cell r="BC950">
            <v>4517</v>
          </cell>
          <cell r="BD950" t="str">
            <v>PECA DE MADEIRA NATIVA/REGIONAL 2,5 X 7,0 CM (SARRAFO-P/FORMA)</v>
          </cell>
          <cell r="BE950" t="str">
            <v>m</v>
          </cell>
          <cell r="BF950">
            <v>1.08</v>
          </cell>
          <cell r="BG950">
            <v>0</v>
          </cell>
        </row>
        <row r="951">
          <cell r="C951">
            <v>0</v>
          </cell>
          <cell r="D951" t="str">
            <v>ENCARGOS SOCIAIS</v>
          </cell>
          <cell r="E951" t="str">
            <v>HORISTA</v>
          </cell>
          <cell r="F951" t="str">
            <v>MENSALISTA</v>
          </cell>
          <cell r="H951">
            <v>0</v>
          </cell>
          <cell r="K951">
            <v>0</v>
          </cell>
          <cell r="L951">
            <v>0</v>
          </cell>
          <cell r="W951" t="str">
            <v>E9768</v>
          </cell>
          <cell r="X951" t="str">
            <v>Compressor de ar portátil de 778 PCM - 184 kW</v>
          </cell>
          <cell r="Y951" t="str">
            <v xml:space="preserve">H     </v>
          </cell>
          <cell r="Z951">
            <v>147.584</v>
          </cell>
          <cell r="AA951">
            <v>29.399000000000001</v>
          </cell>
          <cell r="BC951">
            <v>5068</v>
          </cell>
          <cell r="BD951" t="str">
            <v>PREGO DE ACO POLIDO COM CABECA 17 X 21 (2 X 11)</v>
          </cell>
          <cell r="BE951" t="str">
            <v>kg</v>
          </cell>
          <cell r="BF951">
            <v>10.210000000000001</v>
          </cell>
          <cell r="BG951">
            <v>0</v>
          </cell>
        </row>
        <row r="952">
          <cell r="C952" t="str">
            <v>A.1</v>
          </cell>
          <cell r="D952" t="str">
            <v>PREVIDÊNCIA SOCIAL (INSS)</v>
          </cell>
          <cell r="E952">
            <v>0.2</v>
          </cell>
          <cell r="F952">
            <v>0.2</v>
          </cell>
          <cell r="H952">
            <v>0</v>
          </cell>
          <cell r="K952">
            <v>0</v>
          </cell>
          <cell r="L952">
            <v>0</v>
          </cell>
          <cell r="W952" t="str">
            <v>E9775</v>
          </cell>
          <cell r="X952" t="str">
            <v>Escavadeira hidráulica com martelo hidráulico de 1.700 kg - 103 kW</v>
          </cell>
          <cell r="Y952" t="str">
            <v xml:space="preserve">H     </v>
          </cell>
          <cell r="Z952">
            <v>355.87290000000002</v>
          </cell>
          <cell r="AA952">
            <v>162.1585</v>
          </cell>
          <cell r="BC952">
            <v>90586</v>
          </cell>
          <cell r="BD952" t="str">
            <v>VIBRADOR DE IMERSÃO, DIÂMETRO DE PONTEIRA 45MM, MOTOR ELÉTRICO TRIFÁSICO POTÊNCIA DE 2 CV - CHP DIURNO. AF_06/2015</v>
          </cell>
          <cell r="BE952" t="str">
            <v>h</v>
          </cell>
          <cell r="BF952">
            <v>1.19</v>
          </cell>
          <cell r="BG952">
            <v>0</v>
          </cell>
        </row>
        <row r="953">
          <cell r="C953" t="str">
            <v>A.2</v>
          </cell>
          <cell r="D953" t="str">
            <v>FUNDO DE GARANTIA POR TEMPO DE SERVIÇO (FGTS)</v>
          </cell>
          <cell r="E953">
            <v>0.08</v>
          </cell>
          <cell r="F953">
            <v>0.08</v>
          </cell>
          <cell r="H953">
            <v>0</v>
          </cell>
          <cell r="K953">
            <v>0</v>
          </cell>
          <cell r="L953">
            <v>0</v>
          </cell>
          <cell r="W953" t="str">
            <v>E9780</v>
          </cell>
          <cell r="X953" t="str">
            <v>Misturador automático para grouteamento com capacidade de 20 m³/h - 7 kW</v>
          </cell>
          <cell r="Y953" t="str">
            <v xml:space="preserve">H     </v>
          </cell>
          <cell r="Z953">
            <v>118.929</v>
          </cell>
          <cell r="AA953">
            <v>75.968299999999999</v>
          </cell>
          <cell r="BC953">
            <v>90587</v>
          </cell>
          <cell r="BD953" t="str">
            <v>VIBRADOR DE IMERSÃO, DIÂMETRO DE PONTEIRA 45MM, MOTOR ELÉTRICO TRIFÁSICO POTÊNCIA DE 2 CV - CHI DIURNO. AF_06/2015</v>
          </cell>
          <cell r="BE953" t="str">
            <v>h</v>
          </cell>
          <cell r="BF953">
            <v>0.28999999999999998</v>
          </cell>
          <cell r="BG953">
            <v>0</v>
          </cell>
        </row>
        <row r="954">
          <cell r="C954" t="str">
            <v>A.3</v>
          </cell>
          <cell r="D954" t="str">
            <v>SALÁRIO-EDUCAÇÃO</v>
          </cell>
          <cell r="E954">
            <v>2.5000000000000001E-2</v>
          </cell>
          <cell r="F954">
            <v>2.5000000000000001E-2</v>
          </cell>
          <cell r="H954">
            <v>0</v>
          </cell>
          <cell r="K954">
            <v>0</v>
          </cell>
          <cell r="L954">
            <v>0</v>
          </cell>
          <cell r="W954" t="str">
            <v>E9781</v>
          </cell>
          <cell r="X954" t="str">
            <v>Misturador com bomba para grouteamento tipo flex E - 25 kW</v>
          </cell>
          <cell r="Y954" t="str">
            <v xml:space="preserve">H     </v>
          </cell>
          <cell r="Z954">
            <v>104.42270000000001</v>
          </cell>
          <cell r="AA954">
            <v>62.8705</v>
          </cell>
          <cell r="BC954">
            <v>90692</v>
          </cell>
          <cell r="BD954" t="str">
            <v>MINICARREGADEIRA SOBRE RODAS, POTÊNCIA LÍQUIDA DE 47 HP, CAPACIDADE NOMINAL DE OPERAÇÃO DE 646 KG - CHP DIURNO. AF_06/2015</v>
          </cell>
          <cell r="BE954" t="str">
            <v>h</v>
          </cell>
          <cell r="BF954">
            <v>80.650000000000006</v>
          </cell>
          <cell r="BG954">
            <v>0</v>
          </cell>
        </row>
        <row r="955">
          <cell r="C955" t="str">
            <v>A.4</v>
          </cell>
          <cell r="D955" t="str">
            <v xml:space="preserve"> SERVIÇO SOCIAL DA INDÚSTRIA (SESI)</v>
          </cell>
          <cell r="E955">
            <v>1.4999999999999999E-2</v>
          </cell>
          <cell r="F955">
            <v>1.4999999999999999E-2</v>
          </cell>
          <cell r="H955">
            <v>0</v>
          </cell>
          <cell r="K955">
            <v>0</v>
          </cell>
          <cell r="L955">
            <v>0</v>
          </cell>
          <cell r="W955" t="str">
            <v>E9782</v>
          </cell>
          <cell r="X955" t="str">
            <v>Perfuratriz pneumática com avanço de coluna de 33,5 kg</v>
          </cell>
          <cell r="Y955" t="str">
            <v xml:space="preserve">H     </v>
          </cell>
          <cell r="Z955">
            <v>35.318199999999997</v>
          </cell>
          <cell r="AA955">
            <v>31.923100000000002</v>
          </cell>
          <cell r="BC955">
            <v>92775</v>
          </cell>
          <cell r="BD955" t="str">
            <v>ARMAÇÃO DE PILAR OU VIGA DE UMA ESTRUTURA CONVENCIONAL DE CONCRETO ARMADO EM UMA EDIFICAÇÃO TÉRREA OU SOBRADO UTILIZANDO AÇO CA-60 DE 5,0 MM - MONTAGEM. AF_12/2015</v>
          </cell>
          <cell r="BE955" t="str">
            <v>kg</v>
          </cell>
          <cell r="BF955">
            <v>13.32</v>
          </cell>
          <cell r="BG955">
            <v>0</v>
          </cell>
        </row>
        <row r="956">
          <cell r="C956" t="str">
            <v>A.5</v>
          </cell>
          <cell r="D956" t="str">
            <v>SERVIÇO NACIONAL DE APRENDIZAGEM INDUSTRIAL (SENAI)</v>
          </cell>
          <cell r="E956">
            <v>0.01</v>
          </cell>
          <cell r="F956">
            <v>0.01</v>
          </cell>
          <cell r="H956">
            <v>0</v>
          </cell>
          <cell r="K956">
            <v>0</v>
          </cell>
          <cell r="L956">
            <v>0</v>
          </cell>
          <cell r="W956" t="str">
            <v>E9783</v>
          </cell>
          <cell r="X956" t="str">
            <v>Plataforma pantográfica montada em caminhão - 115 kW</v>
          </cell>
          <cell r="Y956" t="str">
            <v xml:space="preserve">H     </v>
          </cell>
          <cell r="Z956">
            <v>192.77340000000001</v>
          </cell>
          <cell r="AA956">
            <v>99.027100000000004</v>
          </cell>
          <cell r="BC956">
            <v>92777</v>
          </cell>
          <cell r="BD956" t="str">
            <v>ARMAÇÃO DE PILAR OU VIGA DE UMA ESTRUTURA CONVENCIONAL DE CONCRETO ARMADO EM UMA EDIFICAÇÃO TÉRREA OU SOBRADO UTILIZANDO AÇO CA-50 DE 8,0 MM - MONTAGEM. AF_12/2015</v>
          </cell>
          <cell r="BE956" t="str">
            <v>kg</v>
          </cell>
          <cell r="BF956">
            <v>10.28</v>
          </cell>
          <cell r="BG956">
            <v>0</v>
          </cell>
        </row>
        <row r="957">
          <cell r="C957" t="str">
            <v>A.6</v>
          </cell>
          <cell r="D957" t="str">
            <v>SERVIÇO DE APOIO A PEQUENA E MÉDIA EMPRESA (SEBRAE)</v>
          </cell>
          <cell r="E957">
            <v>6.0000000000000001E-3</v>
          </cell>
          <cell r="F957">
            <v>6.0000000000000001E-3</v>
          </cell>
          <cell r="H957">
            <v>0</v>
          </cell>
          <cell r="K957">
            <v>0</v>
          </cell>
          <cell r="L957">
            <v>0</v>
          </cell>
          <cell r="W957" t="str">
            <v>E9784</v>
          </cell>
          <cell r="X957" t="str">
            <v>Plataforma autopropelida com alcance de 12 m com capacidade de 700 kg - 24 kW</v>
          </cell>
          <cell r="Y957" t="str">
            <v xml:space="preserve">H     </v>
          </cell>
          <cell r="Z957">
            <v>92.168400000000005</v>
          </cell>
          <cell r="AA957">
            <v>56.795299999999997</v>
          </cell>
          <cell r="BC957">
            <v>94972</v>
          </cell>
          <cell r="BD957" t="str">
            <v>CONCRETO FCK = 30MPA, TRAÇO 1:2,1:2,5 (CIMENTO/ AREIA MÉDIA/ BRITA 1)  - PREPARO MECÂNICO COM BETONEIRA 600 L. AF_07/2016</v>
          </cell>
          <cell r="BE957" t="str">
            <v>m³</v>
          </cell>
          <cell r="BF957">
            <v>292.07</v>
          </cell>
          <cell r="BG957">
            <v>0</v>
          </cell>
        </row>
        <row r="958">
          <cell r="C958" t="str">
            <v>A.7</v>
          </cell>
          <cell r="D958" t="str">
            <v>INSTITUTO NACIONAL DE COLONIZAÇÃO E REFORMA AGRÁRIA (INCRA)</v>
          </cell>
          <cell r="E958">
            <v>2E-3</v>
          </cell>
          <cell r="F958">
            <v>2E-3</v>
          </cell>
          <cell r="H958">
            <v>0</v>
          </cell>
          <cell r="K958">
            <v>0</v>
          </cell>
          <cell r="L958">
            <v>0</v>
          </cell>
          <cell r="W958" t="str">
            <v>E9790</v>
          </cell>
          <cell r="X958" t="str">
            <v>Bomba para concreto projetado via úmida com capacidade de 10 m³/h - 14,7 kW</v>
          </cell>
          <cell r="Y958" t="str">
            <v xml:space="preserve">H     </v>
          </cell>
          <cell r="Z958">
            <v>65.907899999999998</v>
          </cell>
          <cell r="AA958">
            <v>49.871899999999997</v>
          </cell>
          <cell r="BC958">
            <v>88261</v>
          </cell>
          <cell r="BD958" t="str">
            <v>CARPINTEIRO DE ESQUADRIA COM ENCARGOS COMPLEMENTARES</v>
          </cell>
          <cell r="BE958" t="str">
            <v>h</v>
          </cell>
          <cell r="BF958">
            <v>23.25</v>
          </cell>
          <cell r="BG958">
            <v>0</v>
          </cell>
        </row>
        <row r="959">
          <cell r="C959" t="str">
            <v>A.8</v>
          </cell>
          <cell r="D959" t="str">
            <v>SEGURO DE ACIDENTE DO TRABALHO (INSS)</v>
          </cell>
          <cell r="E959">
            <v>0.02</v>
          </cell>
          <cell r="F959">
            <v>0.02</v>
          </cell>
          <cell r="H959">
            <v>0</v>
          </cell>
          <cell r="K959">
            <v>0</v>
          </cell>
          <cell r="L959">
            <v>0</v>
          </cell>
          <cell r="W959" t="str">
            <v>E9797</v>
          </cell>
          <cell r="X959" t="str">
            <v>Jumbo eletro-hidráulico com 3 braços - 233 kW</v>
          </cell>
          <cell r="Y959" t="str">
            <v>H</v>
          </cell>
          <cell r="Z959">
            <v>1419.3505</v>
          </cell>
          <cell r="AA959">
            <v>672.48099999999999</v>
          </cell>
          <cell r="BC959">
            <v>1358</v>
          </cell>
          <cell r="BD959" t="str">
            <v>CHAPA DE MADEIRA COMPENSADA RESINADA PARA FORMA DE CONCRETO, DE *2,2 X 1,1* M, E = 17 MM</v>
          </cell>
          <cell r="BE959" t="str">
            <v>m²</v>
          </cell>
          <cell r="BF959">
            <v>22.68</v>
          </cell>
          <cell r="BG959">
            <v>0</v>
          </cell>
        </row>
        <row r="960">
          <cell r="C960" t="str">
            <v>A.9</v>
          </cell>
          <cell r="D960" t="str">
            <v xml:space="preserve">SECONCI - SERVIÇO SOCIAL DA INDÚSTRIA DA CONSTRUÇÃO E DO MOBILIÁRIO </v>
          </cell>
          <cell r="E960">
            <v>0</v>
          </cell>
          <cell r="F960">
            <v>0</v>
          </cell>
          <cell r="H960">
            <v>0</v>
          </cell>
          <cell r="K960">
            <v>0</v>
          </cell>
          <cell r="L960">
            <v>0</v>
          </cell>
          <cell r="W960" t="str">
            <v>M0161</v>
          </cell>
          <cell r="X960" t="str">
            <v>Vergalhão de fibra de vidro de 25 mm</v>
          </cell>
          <cell r="Y960" t="str">
            <v xml:space="preserve">M     </v>
          </cell>
          <cell r="Z960">
            <v>30.91</v>
          </cell>
          <cell r="AA960">
            <v>0</v>
          </cell>
          <cell r="BC960">
            <v>2692</v>
          </cell>
          <cell r="BD960" t="str">
            <v>DESMOLDANTE PROTETOR PARA FORMAS DE MADEIRA, DE BASE OLEOSA EMULSIONADA EM AGUA</v>
          </cell>
          <cell r="BE960" t="str">
            <v>l</v>
          </cell>
          <cell r="BF960">
            <v>262.57</v>
          </cell>
          <cell r="BG960">
            <v>0</v>
          </cell>
        </row>
        <row r="961">
          <cell r="C961" t="str">
            <v>A</v>
          </cell>
          <cell r="D961" t="str">
            <v>TOTAL DOS ENCARGOS SOCIAIS BÁSICOS</v>
          </cell>
          <cell r="E961">
            <v>0.3580000000000001</v>
          </cell>
          <cell r="F961">
            <v>0.3580000000000001</v>
          </cell>
          <cell r="H961">
            <v>0</v>
          </cell>
          <cell r="K961">
            <v>0</v>
          </cell>
          <cell r="L961">
            <v>0</v>
          </cell>
          <cell r="W961" t="str">
            <v>M0202</v>
          </cell>
          <cell r="X961" t="str">
            <v>Bit de botão ST 68 - D = 76 mm</v>
          </cell>
          <cell r="Y961" t="str">
            <v xml:space="preserve">UN    </v>
          </cell>
          <cell r="Z961">
            <v>2818.02</v>
          </cell>
          <cell r="AA961">
            <v>0</v>
          </cell>
          <cell r="BC961">
            <v>20247</v>
          </cell>
          <cell r="BD961" t="str">
            <v>PREGO DE ACO POLIDO COM CABECA 15 X 15 (1 1/4 X 13)</v>
          </cell>
          <cell r="BE961" t="str">
            <v>kg</v>
          </cell>
          <cell r="BF961">
            <v>11.31</v>
          </cell>
          <cell r="BG961">
            <v>0</v>
          </cell>
        </row>
        <row r="962">
          <cell r="C962">
            <v>0</v>
          </cell>
          <cell r="D962">
            <v>0</v>
          </cell>
          <cell r="E962">
            <v>0</v>
          </cell>
          <cell r="F962">
            <v>0</v>
          </cell>
          <cell r="H962">
            <v>0</v>
          </cell>
          <cell r="K962">
            <v>0</v>
          </cell>
          <cell r="L962">
            <v>0</v>
          </cell>
          <cell r="W962" t="str">
            <v>M0253</v>
          </cell>
          <cell r="X962" t="str">
            <v>Cabo isolado PVC de 16 mm² - 750 V</v>
          </cell>
          <cell r="Y962" t="str">
            <v xml:space="preserve">M     </v>
          </cell>
          <cell r="Z962">
            <v>7.0892999999999997</v>
          </cell>
          <cell r="AA962">
            <v>0</v>
          </cell>
          <cell r="BC962">
            <v>5795</v>
          </cell>
          <cell r="BD962" t="str">
            <v>MARTELETE OU ROMPEDOR PNEUMÁTICO MANUAL, 28 KG, COM SILENCIADOR - CHP DIURNO. AF_07/2016</v>
          </cell>
          <cell r="BE962" t="str">
            <v>h</v>
          </cell>
          <cell r="BF962">
            <v>26.09</v>
          </cell>
          <cell r="BG962">
            <v>0</v>
          </cell>
        </row>
        <row r="963">
          <cell r="C963" t="str">
            <v>B.1</v>
          </cell>
          <cell r="D963" t="str">
            <v xml:space="preserve">REPOUSO SEMANAL E FERIADOS </v>
          </cell>
          <cell r="E963">
            <v>0.22900000000000001</v>
          </cell>
          <cell r="F963">
            <v>0</v>
          </cell>
          <cell r="H963">
            <v>0</v>
          </cell>
          <cell r="K963">
            <v>0</v>
          </cell>
          <cell r="L963">
            <v>0</v>
          </cell>
          <cell r="W963" t="str">
            <v>M0260</v>
          </cell>
          <cell r="X963" t="str">
            <v>Cabo paralelo de 3 x 1,5 mm²</v>
          </cell>
          <cell r="Y963" t="str">
            <v xml:space="preserve">M     </v>
          </cell>
          <cell r="Z963">
            <v>2.1294</v>
          </cell>
          <cell r="AA963">
            <v>0</v>
          </cell>
          <cell r="BC963">
            <v>5952</v>
          </cell>
          <cell r="BD963" t="str">
            <v>MARTELETE OU ROMPEDOR PNEUMÁTICO MANUAL, 28 KG, COM SILENCIADOR - CHI DIURNO. AF_07/2016</v>
          </cell>
          <cell r="BE963" t="str">
            <v>h</v>
          </cell>
          <cell r="BF963">
            <v>25.03</v>
          </cell>
          <cell r="BG963">
            <v>0</v>
          </cell>
        </row>
        <row r="964">
          <cell r="C964" t="str">
            <v>B.2</v>
          </cell>
          <cell r="D964" t="str">
            <v>AUXÍLIO-ENFERMIDADE</v>
          </cell>
          <cell r="E964">
            <v>2.6499999999999999E-2</v>
          </cell>
          <cell r="F964">
            <v>0</v>
          </cell>
          <cell r="H964">
            <v>0</v>
          </cell>
          <cell r="K964">
            <v>0</v>
          </cell>
          <cell r="L964">
            <v>0</v>
          </cell>
          <cell r="W964" t="str">
            <v>M0266</v>
          </cell>
          <cell r="X964" t="str">
            <v>Cabo Sintenax de 240 mm² - 1 kV</v>
          </cell>
          <cell r="Y964" t="str">
            <v xml:space="preserve">M     </v>
          </cell>
          <cell r="Z964">
            <v>82.309299999999993</v>
          </cell>
          <cell r="AA964">
            <v>0</v>
          </cell>
          <cell r="BC964">
            <v>1380</v>
          </cell>
          <cell r="BD964" t="str">
            <v>CIMENTO BRANCO</v>
          </cell>
          <cell r="BE964" t="str">
            <v>kg</v>
          </cell>
          <cell r="BF964">
            <v>2.34</v>
          </cell>
          <cell r="BG964">
            <v>0</v>
          </cell>
        </row>
        <row r="965">
          <cell r="C965" t="str">
            <v>B.3</v>
          </cell>
          <cell r="D965" t="str">
            <v xml:space="preserve">LICENÇA-PATERNIDADE </v>
          </cell>
          <cell r="E965">
            <v>4.7000000000000002E-3</v>
          </cell>
          <cell r="F965">
            <v>0</v>
          </cell>
          <cell r="H965">
            <v>0</v>
          </cell>
          <cell r="K965">
            <v>0</v>
          </cell>
          <cell r="L965">
            <v>0</v>
          </cell>
          <cell r="W965" t="str">
            <v>M0269</v>
          </cell>
          <cell r="X965" t="str">
            <v>Cabo Sintenax de 50 mm² - 1 kV</v>
          </cell>
          <cell r="Y965" t="str">
            <v xml:space="preserve">M     </v>
          </cell>
          <cell r="Z965">
            <v>18.341100000000001</v>
          </cell>
          <cell r="AA965">
            <v>0</v>
          </cell>
          <cell r="BC965">
            <v>3768</v>
          </cell>
          <cell r="BD965" t="str">
            <v>LIXA EM FOLHA PARA FERRO, NUMERO 150</v>
          </cell>
          <cell r="BE965" t="str">
            <v>und</v>
          </cell>
          <cell r="BF965">
            <v>2.5499999999999998</v>
          </cell>
          <cell r="BG965">
            <v>0</v>
          </cell>
        </row>
        <row r="966">
          <cell r="C966" t="str">
            <v>B.4</v>
          </cell>
          <cell r="D966" t="str">
            <v xml:space="preserve">13º SALÁRIO </v>
          </cell>
          <cell r="E966">
            <v>0.1057</v>
          </cell>
          <cell r="F966">
            <v>8.3299999999999999E-2</v>
          </cell>
          <cell r="H966">
            <v>0</v>
          </cell>
          <cell r="K966">
            <v>0</v>
          </cell>
          <cell r="L966">
            <v>0</v>
          </cell>
          <cell r="W966" t="str">
            <v>M0459</v>
          </cell>
          <cell r="X966" t="str">
            <v>Compensado plastificado de 14 mm</v>
          </cell>
          <cell r="Y966" t="str">
            <v xml:space="preserve">M²    </v>
          </cell>
          <cell r="Z966">
            <v>24.7301</v>
          </cell>
          <cell r="AA966">
            <v>0</v>
          </cell>
          <cell r="BC966">
            <v>11849</v>
          </cell>
          <cell r="BD966" t="str">
            <v>COLA BRANCA BASE PVA</v>
          </cell>
          <cell r="BE966" t="str">
            <v>l</v>
          </cell>
          <cell r="BF966">
            <v>14.68</v>
          </cell>
          <cell r="BG966">
            <v>0</v>
          </cell>
        </row>
        <row r="967">
          <cell r="C967" t="str">
            <v>B.5</v>
          </cell>
          <cell r="D967" t="str">
            <v>DIAS DE CHUVA/FALTAS JUSTIFICADAS/ACIDENTES DE TRABALHO/GREVES/FALTA OU ATRASO NA ENTREGA DE MATERIAIS OU SERVIÇOS NA OBRA/OUTRAS</v>
          </cell>
          <cell r="E967">
            <v>4.5699999999999998E-2</v>
          </cell>
          <cell r="F967">
            <v>0</v>
          </cell>
          <cell r="H967">
            <v>0</v>
          </cell>
          <cell r="K967">
            <v>0</v>
          </cell>
          <cell r="L967">
            <v>0</v>
          </cell>
          <cell r="W967" t="str">
            <v>M0600</v>
          </cell>
          <cell r="X967" t="str">
            <v>Ponteiro de martelo demolidor de 1,2 m</v>
          </cell>
          <cell r="Y967" t="str">
            <v xml:space="preserve">UN    </v>
          </cell>
          <cell r="Z967">
            <v>60.994500000000002</v>
          </cell>
          <cell r="AA967">
            <v>0</v>
          </cell>
          <cell r="BC967">
            <v>26019</v>
          </cell>
          <cell r="BD967" t="str">
            <v>DISCO DE DESBASTE PARA METAL FERROSO EM GERAL, COM TRES TELAS,  9 X 1/4 X 7/8 " (228,6 X 6,4 X 22,2 MM)</v>
          </cell>
          <cell r="BE967" t="str">
            <v>und</v>
          </cell>
          <cell r="BF967">
            <v>25.88</v>
          </cell>
          <cell r="BG967">
            <v>0</v>
          </cell>
        </row>
        <row r="968">
          <cell r="C968" t="str">
            <v>B</v>
          </cell>
          <cell r="D968" t="str">
            <v>TOTAL DOS ENCARGOS SOCIAIS QUE RECEBEM AS INCIDÊNCIAS DE A</v>
          </cell>
          <cell r="E968">
            <v>0.41160000000000002</v>
          </cell>
          <cell r="F968">
            <v>8.3299999999999999E-2</v>
          </cell>
          <cell r="H968">
            <v>0</v>
          </cell>
          <cell r="K968">
            <v>0</v>
          </cell>
          <cell r="L968">
            <v>0</v>
          </cell>
          <cell r="W968" t="str">
            <v>M0868</v>
          </cell>
          <cell r="X968" t="str">
            <v>Lâmpada compacta eletrônica PLE 20 W</v>
          </cell>
          <cell r="Y968" t="str">
            <v xml:space="preserve">UN    </v>
          </cell>
          <cell r="Z968">
            <v>8.35</v>
          </cell>
          <cell r="AA968">
            <v>0</v>
          </cell>
          <cell r="BC968">
            <v>379</v>
          </cell>
          <cell r="BD968" t="str">
            <v>ARRUELA QUADRADA EM ACO GALVANIZADO, DIMENSAO = 38 MM, ESPESSURA = 3MM, DIAMETRO DO FURO= 18 MM</v>
          </cell>
          <cell r="BE968" t="str">
            <v>und</v>
          </cell>
          <cell r="BF968">
            <v>0.73</v>
          </cell>
          <cell r="BG968">
            <v>0</v>
          </cell>
        </row>
        <row r="969">
          <cell r="C969">
            <v>0</v>
          </cell>
          <cell r="D969">
            <v>0</v>
          </cell>
          <cell r="E969">
            <v>0</v>
          </cell>
          <cell r="F969">
            <v>0</v>
          </cell>
          <cell r="H969">
            <v>0</v>
          </cell>
          <cell r="K969">
            <v>0</v>
          </cell>
          <cell r="L969">
            <v>0</v>
          </cell>
          <cell r="W969" t="str">
            <v>M1218</v>
          </cell>
          <cell r="X969" t="str">
            <v>Projetor externo em alumínio fundido para lâmpada até 2.000 W</v>
          </cell>
          <cell r="Y969" t="str">
            <v xml:space="preserve">UN    </v>
          </cell>
          <cell r="Z969">
            <v>492.5</v>
          </cell>
          <cell r="AA969">
            <v>0</v>
          </cell>
          <cell r="BC969">
            <v>420</v>
          </cell>
          <cell r="BD969" t="str">
            <v>CINTA CIRCULAR EM ACO GALVANIZADO DE 150 MM DE DIAMETRO PARA FIXACAO DE CAIXA MEDICAO, INCLUI PARAFUSOS E PORCAS</v>
          </cell>
          <cell r="BE969" t="str">
            <v>und</v>
          </cell>
          <cell r="BF969">
            <v>20.309999999999999</v>
          </cell>
          <cell r="BG969">
            <v>0</v>
          </cell>
        </row>
        <row r="970">
          <cell r="C970" t="str">
            <v>C.1</v>
          </cell>
          <cell r="D970" t="str">
            <v>DEPÓSITO POR DESPEDIDA INJUSTA 50% SOBRE {A2 + (A2 x B)}</v>
          </cell>
          <cell r="E970">
            <v>5.6464E-2</v>
          </cell>
          <cell r="F970">
            <v>4.3332000000000002E-2</v>
          </cell>
          <cell r="H970">
            <v>0</v>
          </cell>
          <cell r="K970">
            <v>0</v>
          </cell>
          <cell r="L970">
            <v>0</v>
          </cell>
          <cell r="W970" t="str">
            <v>M1337</v>
          </cell>
          <cell r="X970" t="str">
            <v>Série de brocas S-11 - D = 22 mm</v>
          </cell>
          <cell r="Y970" t="str">
            <v xml:space="preserve">UN    </v>
          </cell>
          <cell r="Z970">
            <v>428.19740000000002</v>
          </cell>
          <cell r="AA970">
            <v>0</v>
          </cell>
          <cell r="BC970">
            <v>985</v>
          </cell>
          <cell r="BD970" t="str">
            <v>CABO DE COBRE, RIGIDO, CLASSE 2, ISOLACAO EM PVC/A, ANTICHAMA BWF-B, 1 CONDUTOR, 450/750 V, SECAO NOMINAL 10 MM2</v>
          </cell>
          <cell r="BE970" t="str">
            <v>m</v>
          </cell>
          <cell r="BF970">
            <v>5.01</v>
          </cell>
          <cell r="BG970">
            <v>0</v>
          </cell>
        </row>
        <row r="971">
          <cell r="C971" t="str">
            <v>C.2</v>
          </cell>
          <cell r="D971" t="str">
            <v>FÉRIAS (INDENIZADAS)</v>
          </cell>
          <cell r="E971">
            <v>0.14069999999999999</v>
          </cell>
          <cell r="F971">
            <v>0.1116</v>
          </cell>
          <cell r="H971">
            <v>0</v>
          </cell>
          <cell r="K971">
            <v>0</v>
          </cell>
          <cell r="L971">
            <v>0</v>
          </cell>
          <cell r="W971" t="str">
            <v>M1341</v>
          </cell>
          <cell r="X971" t="str">
            <v>Parafuso de aço galvanizado sextavado de 5/8 x 4"</v>
          </cell>
          <cell r="Y971" t="str">
            <v xml:space="preserve">UN    </v>
          </cell>
          <cell r="Z971">
            <v>3.2749999999999999</v>
          </cell>
          <cell r="AA971">
            <v>0</v>
          </cell>
          <cell r="BC971">
            <v>1091</v>
          </cell>
          <cell r="BD971" t="str">
            <v>ARMACAO VERTICAL COM HASTE E CONTRA-PINO, EM CHAPA DE ACO GALVANIZADO 3/16", COM 1 ESTRIBO E 1 ISOLADOR</v>
          </cell>
          <cell r="BE971" t="str">
            <v>und</v>
          </cell>
          <cell r="BF971">
            <v>19.47</v>
          </cell>
          <cell r="BG971">
            <v>0</v>
          </cell>
        </row>
        <row r="972">
          <cell r="C972" t="str">
            <v>C.3</v>
          </cell>
          <cell r="D972" t="str">
            <v>AVISO PRÉVIO (INDENIZADO)</v>
          </cell>
          <cell r="E972">
            <v>0.13120000000000001</v>
          </cell>
          <cell r="F972">
            <v>0.1186</v>
          </cell>
          <cell r="H972">
            <v>0</v>
          </cell>
          <cell r="K972">
            <v>0</v>
          </cell>
          <cell r="L972">
            <v>0</v>
          </cell>
          <cell r="W972" t="str">
            <v>M1614</v>
          </cell>
          <cell r="X972" t="str">
            <v>Tubo de aço galvanizado BSP classe leve - D = 50 mm</v>
          </cell>
          <cell r="Y972" t="str">
            <v xml:space="preserve">M     </v>
          </cell>
          <cell r="Z972">
            <v>33.75</v>
          </cell>
          <cell r="AA972">
            <v>0</v>
          </cell>
          <cell r="BC972">
            <v>2386</v>
          </cell>
          <cell r="BD972" t="str">
            <v>DISJUNTOR TIPO NEMA, MONOPOLAR 35  ATE  50 A, TENSAO MAXIMA DE 240 V</v>
          </cell>
          <cell r="BE972" t="str">
            <v>und</v>
          </cell>
          <cell r="BF972">
            <v>14.29</v>
          </cell>
          <cell r="BG972">
            <v>0</v>
          </cell>
        </row>
        <row r="973">
          <cell r="C973" t="str">
            <v>C</v>
          </cell>
          <cell r="D973" t="str">
            <v>Total dos Encargos Sociais que não recebem as incidências globais de A</v>
          </cell>
          <cell r="E973">
            <v>0.32836399999999999</v>
          </cell>
          <cell r="F973">
            <v>0.273532</v>
          </cell>
          <cell r="H973">
            <v>0</v>
          </cell>
          <cell r="K973">
            <v>0</v>
          </cell>
          <cell r="L973">
            <v>0</v>
          </cell>
          <cell r="W973" t="str">
            <v>M1640</v>
          </cell>
          <cell r="X973" t="str">
            <v>Nonel iniciador com 300 m</v>
          </cell>
          <cell r="Y973" t="str">
            <v xml:space="preserve">UN    </v>
          </cell>
          <cell r="Z973">
            <v>320</v>
          </cell>
          <cell r="AA973">
            <v>0</v>
          </cell>
          <cell r="BC973">
            <v>2673</v>
          </cell>
          <cell r="BD973" t="str">
            <v>ELETRODUTO DE PVC RIGIDO ROSCAVEL DE 1/2 ", SEM LUVA</v>
          </cell>
          <cell r="BE973" t="str">
            <v>m</v>
          </cell>
          <cell r="BF973">
            <v>1.8</v>
          </cell>
          <cell r="BG973">
            <v>0</v>
          </cell>
        </row>
        <row r="974">
          <cell r="C974">
            <v>0</v>
          </cell>
          <cell r="D974">
            <v>0</v>
          </cell>
          <cell r="E974">
            <v>0</v>
          </cell>
          <cell r="F974">
            <v>0</v>
          </cell>
          <cell r="H974">
            <v>0</v>
          </cell>
          <cell r="K974">
            <v>0</v>
          </cell>
          <cell r="L974">
            <v>0</v>
          </cell>
          <cell r="W974" t="str">
            <v>M1664</v>
          </cell>
          <cell r="X974" t="str">
            <v>Bit rotativo - D = 127 mm</v>
          </cell>
          <cell r="Y974" t="str">
            <v xml:space="preserve">UN    </v>
          </cell>
          <cell r="Z974">
            <v>1444.9483</v>
          </cell>
          <cell r="AA974">
            <v>0</v>
          </cell>
          <cell r="BC974">
            <v>2685</v>
          </cell>
          <cell r="BD974" t="str">
            <v>ELETRODUTO DE PVC RIGIDO ROSCAVEL DE 1 ", SEM LUVA</v>
          </cell>
          <cell r="BE974" t="str">
            <v>m</v>
          </cell>
          <cell r="BF974">
            <v>3.5</v>
          </cell>
          <cell r="BG974">
            <v>0</v>
          </cell>
        </row>
        <row r="975">
          <cell r="C975" t="str">
            <v>D.1</v>
          </cell>
          <cell r="D975" t="str">
            <v>REINCIDÊNCIA DE A SOBRE B</v>
          </cell>
          <cell r="E975">
            <v>0.14735280000000003</v>
          </cell>
          <cell r="F975">
            <v>2.9821400000000008E-2</v>
          </cell>
          <cell r="H975">
            <v>0</v>
          </cell>
          <cell r="K975">
            <v>0</v>
          </cell>
          <cell r="L975">
            <v>0</v>
          </cell>
          <cell r="W975" t="str">
            <v>M1665</v>
          </cell>
          <cell r="X975" t="str">
            <v>Tubo de PVC roscável de 1 1/2"</v>
          </cell>
          <cell r="Y975" t="str">
            <v xml:space="preserve">M     </v>
          </cell>
          <cell r="Z975">
            <v>14.7475</v>
          </cell>
          <cell r="AA975">
            <v>0</v>
          </cell>
          <cell r="BC975">
            <v>3380</v>
          </cell>
          <cell r="BD975" t="str">
            <v>HASTE DE ATERRAMENTO EM ACO COM 3,00 M DE COMPRIMENTO E DN = 5/8", REVESTIDA COM BAIXA CAMADA DE COBRE, COM CONECTOR TIPO GRAMPO</v>
          </cell>
          <cell r="BE975" t="str">
            <v>und</v>
          </cell>
          <cell r="BF975">
            <v>44.11</v>
          </cell>
          <cell r="BG975">
            <v>0</v>
          </cell>
        </row>
        <row r="976">
          <cell r="C976" t="str">
            <v>D.2</v>
          </cell>
          <cell r="D976" t="str">
            <v>REINCIDÊNCIA DE A.2 SOBRE C.3</v>
          </cell>
          <cell r="E976">
            <v>1.0496000000000002E-2</v>
          </cell>
          <cell r="F976">
            <v>9.4879999999999999E-3</v>
          </cell>
          <cell r="H976">
            <v>0</v>
          </cell>
          <cell r="K976">
            <v>0</v>
          </cell>
          <cell r="L976">
            <v>0</v>
          </cell>
          <cell r="W976" t="str">
            <v>M1702</v>
          </cell>
          <cell r="X976" t="str">
            <v>Tubo de ventilação flexível com acessórios - D = 1,2 m</v>
          </cell>
          <cell r="Y976" t="str">
            <v xml:space="preserve">M     </v>
          </cell>
          <cell r="Z976">
            <v>104.0455</v>
          </cell>
          <cell r="AA976">
            <v>0</v>
          </cell>
          <cell r="BC976">
            <v>3398</v>
          </cell>
          <cell r="BD976" t="str">
            <v>ISOLADOR DE PORCELANA, TIPO ROLDANA, DIMENSOES DE *72* X *72* MM, PARA USO EM BAIXA TENSAO</v>
          </cell>
          <cell r="BE976" t="str">
            <v>und</v>
          </cell>
          <cell r="BF976">
            <v>3.87</v>
          </cell>
          <cell r="BG976">
            <v>0</v>
          </cell>
        </row>
        <row r="977">
          <cell r="C977" t="str">
            <v>D</v>
          </cell>
          <cell r="D977" t="str">
            <v xml:space="preserve">TOTAL DAS TAXAS DAS REINCIDÊNCIAS </v>
          </cell>
          <cell r="E977">
            <v>0.15784880000000004</v>
          </cell>
          <cell r="F977">
            <v>3.9309400000000008E-2</v>
          </cell>
          <cell r="H977">
            <v>0</v>
          </cell>
          <cell r="K977">
            <v>0</v>
          </cell>
          <cell r="L977">
            <v>0</v>
          </cell>
          <cell r="W977" t="str">
            <v>M1720</v>
          </cell>
          <cell r="X977" t="str">
            <v>Geotêxtil não tecido agulhado RT 10</v>
          </cell>
          <cell r="Y977" t="str">
            <v xml:space="preserve">M²    </v>
          </cell>
          <cell r="Z977">
            <v>4.2053000000000003</v>
          </cell>
          <cell r="AA977">
            <v>0</v>
          </cell>
          <cell r="BC977">
            <v>4336</v>
          </cell>
          <cell r="BD977" t="str">
            <v>PARAFUSO ZINCADO, SEXTAVADO, COM ROSCA INTEIRA, DIAMETRO 5/8", COMPRIMENTO 3", COM PORCA E ARRUELA DE PRESSAO MEDIA</v>
          </cell>
          <cell r="BE977" t="str">
            <v>und</v>
          </cell>
          <cell r="BF977">
            <v>3.51</v>
          </cell>
          <cell r="BG977">
            <v>0</v>
          </cell>
        </row>
        <row r="978">
          <cell r="C978">
            <v>0</v>
          </cell>
          <cell r="D978">
            <v>0</v>
          </cell>
          <cell r="E978">
            <v>0</v>
          </cell>
          <cell r="F978">
            <v>0</v>
          </cell>
          <cell r="H978">
            <v>0</v>
          </cell>
          <cell r="K978">
            <v>0</v>
          </cell>
          <cell r="L978">
            <v>0</v>
          </cell>
          <cell r="W978" t="str">
            <v>M1731</v>
          </cell>
          <cell r="X978" t="str">
            <v>Haste de perfuração simples de jet grouting de 88,9 x 300 mm</v>
          </cell>
          <cell r="Y978" t="str">
            <v xml:space="preserve">UN    </v>
          </cell>
          <cell r="Z978">
            <v>1725.5614</v>
          </cell>
          <cell r="AA978">
            <v>0</v>
          </cell>
          <cell r="BC978">
            <v>5044</v>
          </cell>
          <cell r="BD978" t="str">
            <v>POSTE DE CONCRETO CIRCULAR, 200 KG, H = 9 M (NBR 8451)</v>
          </cell>
          <cell r="BE978" t="str">
            <v>und</v>
          </cell>
          <cell r="BF978">
            <v>530.64</v>
          </cell>
          <cell r="BG978">
            <v>0</v>
          </cell>
        </row>
        <row r="979">
          <cell r="C979" t="str">
            <v xml:space="preserve">PORCENTAGEM TOTAL </v>
          </cell>
          <cell r="D979">
            <v>0</v>
          </cell>
          <cell r="E979">
            <v>1.2558</v>
          </cell>
          <cell r="F979">
            <v>0.75409999999999999</v>
          </cell>
          <cell r="H979">
            <v>0</v>
          </cell>
          <cell r="K979">
            <v>0</v>
          </cell>
          <cell r="L979">
            <v>0</v>
          </cell>
          <cell r="W979" t="str">
            <v>M1732</v>
          </cell>
          <cell r="X979" t="str">
            <v>Luva para tubo de aço galvanizado BSP classe leve - D = 50 mm</v>
          </cell>
          <cell r="Y979" t="str">
            <v xml:space="preserve">UN    </v>
          </cell>
          <cell r="Z979">
            <v>4.8795000000000002</v>
          </cell>
          <cell r="AA979">
            <v>0</v>
          </cell>
          <cell r="BC979">
            <v>11856</v>
          </cell>
          <cell r="BD979" t="str">
            <v>CONECTOR METALICO TIPO PARAFUSO FENDIDO (SPLIT BOLT), PARA CABOS ATE 10 MM2</v>
          </cell>
          <cell r="BE979" t="str">
            <v>und</v>
          </cell>
          <cell r="BF979">
            <v>4.01</v>
          </cell>
          <cell r="BG979">
            <v>0</v>
          </cell>
        </row>
        <row r="980">
          <cell r="E980">
            <v>0</v>
          </cell>
          <cell r="F980">
            <v>0</v>
          </cell>
          <cell r="K980">
            <v>0</v>
          </cell>
          <cell r="L980">
            <v>0</v>
          </cell>
          <cell r="W980" t="str">
            <v>M1735</v>
          </cell>
          <cell r="X980" t="str">
            <v>Punho de perfuração ST 68 de 80 mm</v>
          </cell>
          <cell r="Y980" t="str">
            <v xml:space="preserve">UN    </v>
          </cell>
          <cell r="Z980">
            <v>6105.1643999999997</v>
          </cell>
          <cell r="AA980">
            <v>0</v>
          </cell>
          <cell r="BC980">
            <v>20256</v>
          </cell>
          <cell r="BD980" t="str">
            <v>ROLDANA PLASTICA COM PREGO, TAMANHO 30 X 30 MM, PARA INSTALACAO ELETRICA APARENTE</v>
          </cell>
          <cell r="BE980" t="str">
            <v>und</v>
          </cell>
          <cell r="BF980">
            <v>0.35</v>
          </cell>
          <cell r="BG980">
            <v>0</v>
          </cell>
        </row>
        <row r="981">
          <cell r="E981">
            <v>0</v>
          </cell>
          <cell r="F981">
            <v>0</v>
          </cell>
          <cell r="K981">
            <v>0</v>
          </cell>
          <cell r="L981">
            <v>0</v>
          </cell>
          <cell r="W981" t="str">
            <v>M1749</v>
          </cell>
          <cell r="X981" t="str">
            <v>Tubo de perfuração ST 68 de 87 x 1.830 mm</v>
          </cell>
          <cell r="Y981" t="str">
            <v xml:space="preserve">UN    </v>
          </cell>
          <cell r="Z981">
            <v>5733.9525000000003</v>
          </cell>
          <cell r="AA981">
            <v>0</v>
          </cell>
          <cell r="BC981">
            <v>39680</v>
          </cell>
          <cell r="BD981" t="str">
            <v>CAIXA DE PROTECAO PARA 1 MEDIDOR MONOFASICO, EM CHAPA DE ACO 20 USG (PADRAO DA CONCESSIONARIA LOCAL)</v>
          </cell>
          <cell r="BE981" t="str">
            <v>und</v>
          </cell>
          <cell r="BF981">
            <v>85.32</v>
          </cell>
          <cell r="BG981">
            <v>0</v>
          </cell>
        </row>
        <row r="982">
          <cell r="E982">
            <v>0</v>
          </cell>
          <cell r="F982">
            <v>0</v>
          </cell>
          <cell r="K982">
            <v>0</v>
          </cell>
          <cell r="L982">
            <v>0</v>
          </cell>
          <cell r="W982" t="str">
            <v>M1750</v>
          </cell>
          <cell r="X982" t="str">
            <v>Hidromonitor com bico de injeção para jet grouting - D = 88,9 mm</v>
          </cell>
          <cell r="Y982" t="str">
            <v xml:space="preserve">UN    </v>
          </cell>
          <cell r="Z982">
            <v>10000</v>
          </cell>
          <cell r="AA982">
            <v>0</v>
          </cell>
          <cell r="BC982">
            <v>1525</v>
          </cell>
          <cell r="BD982" t="str">
            <v>CONCRETO USINADO BOMBEAVEL, CLASSE DE RESISTENCIA C30, COM BRITA 0 E 1, SLUMP = 100 +/- 20 MM, INCLUI SERVICO DE BOMBEAMENTO (NBR 8953)</v>
          </cell>
          <cell r="BE982" t="str">
            <v>m³</v>
          </cell>
          <cell r="BF982">
            <v>301.61</v>
          </cell>
          <cell r="BG982">
            <v>0</v>
          </cell>
        </row>
        <row r="983">
          <cell r="E983">
            <v>0</v>
          </cell>
          <cell r="F983">
            <v>0</v>
          </cell>
          <cell r="K983">
            <v>0</v>
          </cell>
          <cell r="L983">
            <v>0</v>
          </cell>
          <cell r="W983" t="str">
            <v>M1765</v>
          </cell>
          <cell r="X983" t="str">
            <v>Tubo de aço SCH 40 - D = 65 mm</v>
          </cell>
          <cell r="Y983" t="str">
            <v xml:space="preserve">M     </v>
          </cell>
          <cell r="Z983">
            <v>56.115600000000001</v>
          </cell>
          <cell r="AA983">
            <v>0</v>
          </cell>
          <cell r="BC983">
            <v>142</v>
          </cell>
          <cell r="BD983" t="str">
            <v>SELANTE ELASTICO MONOCOMPONENTE A BASE DE POLIURETANO PARA JUNTAS DIVERSAS</v>
          </cell>
          <cell r="BE983" t="str">
            <v>310ML</v>
          </cell>
          <cell r="BF983">
            <v>33.799999999999997</v>
          </cell>
          <cell r="BG983">
            <v>0</v>
          </cell>
        </row>
        <row r="984">
          <cell r="E984">
            <v>0</v>
          </cell>
          <cell r="F984">
            <v>0</v>
          </cell>
          <cell r="K984">
            <v>0</v>
          </cell>
          <cell r="L984">
            <v>0</v>
          </cell>
          <cell r="W984" t="str">
            <v>M1820</v>
          </cell>
          <cell r="X984" t="str">
            <v>Cartucho de resina de poliéster de 25 x 500 mm</v>
          </cell>
          <cell r="Y984" t="str">
            <v>und</v>
          </cell>
          <cell r="Z984">
            <v>4.17</v>
          </cell>
          <cell r="AA984">
            <v>0</v>
          </cell>
          <cell r="BC984">
            <v>88270</v>
          </cell>
          <cell r="BD984" t="str">
            <v>IMPERMEABILIZADOR COM ENCARGOS COMPLEMENTARES</v>
          </cell>
          <cell r="BE984" t="str">
            <v>H</v>
          </cell>
          <cell r="BF984">
            <v>24.22</v>
          </cell>
          <cell r="BG984">
            <v>0</v>
          </cell>
        </row>
        <row r="985">
          <cell r="E985">
            <v>0</v>
          </cell>
          <cell r="F985">
            <v>0</v>
          </cell>
          <cell r="K985">
            <v>0</v>
          </cell>
          <cell r="L985">
            <v>0</v>
          </cell>
          <cell r="W985" t="str">
            <v>M1853</v>
          </cell>
          <cell r="X985" t="str">
            <v>Aço para tirantes 750 MPa</v>
          </cell>
          <cell r="Y985" t="str">
            <v>kg</v>
          </cell>
          <cell r="Z985">
            <v>12.71</v>
          </cell>
          <cell r="AA985">
            <v>0</v>
          </cell>
          <cell r="BC985">
            <v>857</v>
          </cell>
          <cell r="BD985" t="str">
            <v>CABO DE COBRE NU 16 MM2 MEIO-DURO</v>
          </cell>
          <cell r="BE985" t="str">
            <v>M</v>
          </cell>
          <cell r="BF985">
            <v>7.33</v>
          </cell>
          <cell r="BG985">
            <v>0</v>
          </cell>
        </row>
        <row r="986">
          <cell r="E986">
            <v>0</v>
          </cell>
          <cell r="F986">
            <v>0</v>
          </cell>
          <cell r="K986">
            <v>0</v>
          </cell>
          <cell r="L986">
            <v>0</v>
          </cell>
          <cell r="W986" t="str">
            <v>M1869</v>
          </cell>
          <cell r="X986" t="str">
            <v>Bit para martelo de fundo - D = 120 mm</v>
          </cell>
          <cell r="Y986" t="str">
            <v>un</v>
          </cell>
          <cell r="Z986">
            <v>1548.4265</v>
          </cell>
          <cell r="AA986">
            <v>0</v>
          </cell>
          <cell r="BC986" t="str">
            <v>COT001</v>
          </cell>
          <cell r="BD986" t="str">
            <v>Remanejamento/Execução de torre de transmissão de energia em Aparecida/SP</v>
          </cell>
          <cell r="BE986" t="str">
            <v>VB</v>
          </cell>
          <cell r="BF986">
            <v>530000</v>
          </cell>
          <cell r="BG986">
            <v>0</v>
          </cell>
        </row>
        <row r="987">
          <cell r="E987">
            <v>0</v>
          </cell>
          <cell r="F987">
            <v>0</v>
          </cell>
          <cell r="K987">
            <v>0</v>
          </cell>
          <cell r="L987">
            <v>0</v>
          </cell>
          <cell r="W987" t="str">
            <v>M2070</v>
          </cell>
          <cell r="X987" t="str">
            <v>Haste para jumbo hidráulico T38 de 1 1/2" x 4,60 m</v>
          </cell>
          <cell r="Y987" t="str">
            <v xml:space="preserve">UN    </v>
          </cell>
          <cell r="Z987">
            <v>1625.3737000000001</v>
          </cell>
          <cell r="AA987">
            <v>0</v>
          </cell>
          <cell r="BC987" t="str">
            <v>COT014</v>
          </cell>
          <cell r="BD987" t="str">
            <v>Guindaste 160t</v>
          </cell>
          <cell r="BE987" t="str">
            <v>undxmês</v>
          </cell>
          <cell r="BF987">
            <v>96000</v>
          </cell>
          <cell r="BG987">
            <v>0</v>
          </cell>
        </row>
        <row r="988">
          <cell r="E988">
            <v>0</v>
          </cell>
          <cell r="F988">
            <v>0</v>
          </cell>
          <cell r="K988">
            <v>0</v>
          </cell>
          <cell r="L988">
            <v>0</v>
          </cell>
          <cell r="W988" t="str">
            <v>M2071</v>
          </cell>
          <cell r="X988" t="str">
            <v>Coroa para jumbo hidráulico T38 - D = 2"</v>
          </cell>
          <cell r="Y988" t="str">
            <v xml:space="preserve">UN    </v>
          </cell>
          <cell r="Z988">
            <v>396.4502</v>
          </cell>
          <cell r="AA988">
            <v>0</v>
          </cell>
          <cell r="BC988">
            <v>0</v>
          </cell>
          <cell r="BD988">
            <v>0</v>
          </cell>
          <cell r="BE988">
            <v>0</v>
          </cell>
          <cell r="BF988">
            <v>0</v>
          </cell>
          <cell r="BG988">
            <v>0</v>
          </cell>
        </row>
        <row r="989">
          <cell r="E989">
            <v>0</v>
          </cell>
          <cell r="F989">
            <v>0</v>
          </cell>
          <cell r="K989">
            <v>0</v>
          </cell>
          <cell r="L989">
            <v>0</v>
          </cell>
          <cell r="W989" t="str">
            <v>M2072</v>
          </cell>
          <cell r="X989" t="str">
            <v>Luva de acoplamento para jumbo T38 - D = 1 1/2"</v>
          </cell>
          <cell r="Y989" t="str">
            <v xml:space="preserve">UN    </v>
          </cell>
          <cell r="Z989">
            <v>217.23249999999999</v>
          </cell>
          <cell r="AA989">
            <v>0</v>
          </cell>
          <cell r="BC989">
            <v>0</v>
          </cell>
          <cell r="BD989">
            <v>0</v>
          </cell>
          <cell r="BE989">
            <v>0</v>
          </cell>
          <cell r="BF989">
            <v>0</v>
          </cell>
          <cell r="BG989">
            <v>0</v>
          </cell>
        </row>
        <row r="990">
          <cell r="E990">
            <v>0</v>
          </cell>
          <cell r="F990">
            <v>0</v>
          </cell>
          <cell r="K990">
            <v>0</v>
          </cell>
          <cell r="L990">
            <v>0</v>
          </cell>
          <cell r="W990" t="str">
            <v>M2073</v>
          </cell>
          <cell r="X990" t="str">
            <v>Punho para jumbo hidráulico T38 - D = 1 1/2"</v>
          </cell>
          <cell r="Y990" t="str">
            <v xml:space="preserve">UN    </v>
          </cell>
          <cell r="Z990">
            <v>1039.2985000000001</v>
          </cell>
          <cell r="AA990">
            <v>0</v>
          </cell>
          <cell r="BC990">
            <v>0</v>
          </cell>
          <cell r="BD990">
            <v>0</v>
          </cell>
          <cell r="BE990">
            <v>0</v>
          </cell>
          <cell r="BF990">
            <v>0</v>
          </cell>
          <cell r="BG990">
            <v>0</v>
          </cell>
        </row>
        <row r="991">
          <cell r="E991">
            <v>0</v>
          </cell>
          <cell r="F991">
            <v>0</v>
          </cell>
          <cell r="K991">
            <v>0</v>
          </cell>
          <cell r="L991">
            <v>0</v>
          </cell>
          <cell r="W991" t="str">
            <v>M2135</v>
          </cell>
          <cell r="X991" t="str">
            <v>Nonel de coluna (túnel)</v>
          </cell>
          <cell r="Y991" t="str">
            <v xml:space="preserve">UN    </v>
          </cell>
          <cell r="Z991">
            <v>15.975</v>
          </cell>
          <cell r="AA991">
            <v>0</v>
          </cell>
          <cell r="BC991">
            <v>0</v>
          </cell>
          <cell r="BD991">
            <v>0</v>
          </cell>
          <cell r="BE991">
            <v>0</v>
          </cell>
          <cell r="BF991">
            <v>0</v>
          </cell>
          <cell r="BG991">
            <v>0</v>
          </cell>
        </row>
        <row r="992">
          <cell r="E992">
            <v>0</v>
          </cell>
          <cell r="F992">
            <v>0</v>
          </cell>
          <cell r="K992">
            <v>0</v>
          </cell>
          <cell r="L992">
            <v>0</v>
          </cell>
          <cell r="W992" t="str">
            <v>M2142</v>
          </cell>
          <cell r="X992" t="str">
            <v>Nonel de coluna com 4,8 m</v>
          </cell>
          <cell r="Y992" t="str">
            <v xml:space="preserve">UN    </v>
          </cell>
          <cell r="Z992">
            <v>13.333600000000001</v>
          </cell>
          <cell r="AA992">
            <v>0</v>
          </cell>
          <cell r="BC992">
            <v>0</v>
          </cell>
          <cell r="BD992">
            <v>0</v>
          </cell>
          <cell r="BE992">
            <v>0</v>
          </cell>
          <cell r="BF992">
            <v>0</v>
          </cell>
          <cell r="BG992">
            <v>0</v>
          </cell>
        </row>
        <row r="993">
          <cell r="E993">
            <v>0</v>
          </cell>
          <cell r="F993">
            <v>0</v>
          </cell>
          <cell r="K993">
            <v>0</v>
          </cell>
          <cell r="L993">
            <v>0</v>
          </cell>
          <cell r="W993" t="str">
            <v>M2197</v>
          </cell>
          <cell r="X993" t="str">
            <v>Haste de paredes paralelas com niples linha NW</v>
          </cell>
          <cell r="Y993" t="str">
            <v xml:space="preserve">M     </v>
          </cell>
          <cell r="Z993">
            <v>327.5668</v>
          </cell>
          <cell r="AA993">
            <v>0</v>
          </cell>
          <cell r="BC993">
            <v>0</v>
          </cell>
          <cell r="BD993">
            <v>0</v>
          </cell>
          <cell r="BE993">
            <v>0</v>
          </cell>
          <cell r="BF993">
            <v>0</v>
          </cell>
          <cell r="BG993">
            <v>0</v>
          </cell>
        </row>
        <row r="994">
          <cell r="E994">
            <v>0</v>
          </cell>
          <cell r="F994">
            <v>0</v>
          </cell>
          <cell r="K994">
            <v>0</v>
          </cell>
          <cell r="L994">
            <v>0</v>
          </cell>
          <cell r="W994" t="str">
            <v>M2285</v>
          </cell>
          <cell r="X994" t="str">
            <v>Revestimento com conector linha NW</v>
          </cell>
          <cell r="Y994" t="str">
            <v xml:space="preserve">M     </v>
          </cell>
          <cell r="Z994">
            <v>236.37360000000001</v>
          </cell>
          <cell r="AA994">
            <v>0</v>
          </cell>
          <cell r="BC994">
            <v>0</v>
          </cell>
          <cell r="BD994">
            <v>0</v>
          </cell>
          <cell r="BE994">
            <v>0</v>
          </cell>
          <cell r="BF994">
            <v>0</v>
          </cell>
          <cell r="BG994">
            <v>0</v>
          </cell>
        </row>
        <row r="995">
          <cell r="E995">
            <v>0</v>
          </cell>
          <cell r="F995">
            <v>0</v>
          </cell>
          <cell r="K995">
            <v>0</v>
          </cell>
          <cell r="L995">
            <v>0</v>
          </cell>
          <cell r="W995" t="str">
            <v>M2303</v>
          </cell>
          <cell r="X995" t="str">
            <v>Sapata de widia linha NW</v>
          </cell>
          <cell r="Y995" t="str">
            <v xml:space="preserve">UN    </v>
          </cell>
          <cell r="Z995">
            <v>252.40770000000001</v>
          </cell>
          <cell r="AA995">
            <v>0</v>
          </cell>
          <cell r="BC995">
            <v>0</v>
          </cell>
          <cell r="BD995">
            <v>0</v>
          </cell>
          <cell r="BE995">
            <v>0</v>
          </cell>
          <cell r="BF995">
            <v>0</v>
          </cell>
          <cell r="BG995">
            <v>0</v>
          </cell>
        </row>
        <row r="996">
          <cell r="E996">
            <v>0</v>
          </cell>
          <cell r="F996">
            <v>0</v>
          </cell>
          <cell r="K996">
            <v>0</v>
          </cell>
          <cell r="L996">
            <v>0</v>
          </cell>
          <cell r="W996" t="str">
            <v>M2304</v>
          </cell>
          <cell r="X996" t="str">
            <v>Tricone de widia com três asas linha NW</v>
          </cell>
          <cell r="Y996" t="str">
            <v xml:space="preserve">UN    </v>
          </cell>
          <cell r="Z996">
            <v>712.2876</v>
          </cell>
          <cell r="AA996">
            <v>0</v>
          </cell>
          <cell r="BC996">
            <v>0</v>
          </cell>
          <cell r="BD996">
            <v>0</v>
          </cell>
          <cell r="BE996">
            <v>0</v>
          </cell>
          <cell r="BF996">
            <v>0</v>
          </cell>
          <cell r="BG996">
            <v>0</v>
          </cell>
        </row>
        <row r="997">
          <cell r="E997">
            <v>0</v>
          </cell>
          <cell r="F997">
            <v>0</v>
          </cell>
          <cell r="K997">
            <v>0</v>
          </cell>
          <cell r="L997">
            <v>0</v>
          </cell>
          <cell r="W997" t="str">
            <v>M3090</v>
          </cell>
          <cell r="X997" t="str">
            <v>Placa de ancoragem para tirante de 160 x 160 x 20 mm</v>
          </cell>
          <cell r="Y997" t="str">
            <v>und</v>
          </cell>
          <cell r="Z997">
            <v>48.617699999999999</v>
          </cell>
          <cell r="AA997">
            <v>0</v>
          </cell>
          <cell r="BC997">
            <v>0</v>
          </cell>
          <cell r="BD997">
            <v>0</v>
          </cell>
          <cell r="BE997">
            <v>0</v>
          </cell>
          <cell r="BF997">
            <v>0</v>
          </cell>
          <cell r="BG997">
            <v>0</v>
          </cell>
        </row>
        <row r="998">
          <cell r="E998">
            <v>0</v>
          </cell>
          <cell r="F998">
            <v>0</v>
          </cell>
          <cell r="K998">
            <v>0</v>
          </cell>
          <cell r="L998">
            <v>0</v>
          </cell>
          <cell r="W998" t="str">
            <v>M3091</v>
          </cell>
          <cell r="X998" t="str">
            <v>Porca sextavada de 3/4" a 1 1/2"</v>
          </cell>
          <cell r="Y998" t="str">
            <v>und</v>
          </cell>
          <cell r="Z998">
            <v>44.1</v>
          </cell>
          <cell r="AA998">
            <v>0</v>
          </cell>
          <cell r="BC998">
            <v>0</v>
          </cell>
          <cell r="BD998">
            <v>0</v>
          </cell>
          <cell r="BE998">
            <v>0</v>
          </cell>
          <cell r="BF998">
            <v>0</v>
          </cell>
          <cell r="BG998">
            <v>0</v>
          </cell>
        </row>
        <row r="999">
          <cell r="E999">
            <v>0</v>
          </cell>
          <cell r="F999">
            <v>0</v>
          </cell>
          <cell r="K999">
            <v>0</v>
          </cell>
          <cell r="L999">
            <v>0</v>
          </cell>
          <cell r="W999" t="str">
            <v>M3220</v>
          </cell>
          <cell r="X999" t="str">
            <v>Ring bit - D = 104 mm</v>
          </cell>
          <cell r="Y999" t="str">
            <v xml:space="preserve">UN    </v>
          </cell>
          <cell r="Z999">
            <v>1099.7047</v>
          </cell>
          <cell r="AA999">
            <v>0</v>
          </cell>
          <cell r="BC999">
            <v>0</v>
          </cell>
          <cell r="BD999">
            <v>0</v>
          </cell>
          <cell r="BE999">
            <v>0</v>
          </cell>
          <cell r="BF999">
            <v>0</v>
          </cell>
          <cell r="BG999">
            <v>0</v>
          </cell>
        </row>
        <row r="1000">
          <cell r="E1000">
            <v>0</v>
          </cell>
          <cell r="F1000">
            <v>0</v>
          </cell>
          <cell r="K1000">
            <v>0</v>
          </cell>
          <cell r="L1000">
            <v>0</v>
          </cell>
          <cell r="W1000" t="str">
            <v>E9527</v>
          </cell>
          <cell r="X1000" t="str">
            <v>Martelete perfurador/rompedor a ar comprimido de 25 kg para rocha</v>
          </cell>
          <cell r="Y1000" t="str">
            <v>H</v>
          </cell>
          <cell r="Z1000">
            <v>30.533300000000001</v>
          </cell>
          <cell r="AA1000">
            <v>29.288699999999999</v>
          </cell>
          <cell r="BC1000">
            <v>0</v>
          </cell>
          <cell r="BD1000">
            <v>0</v>
          </cell>
          <cell r="BE1000">
            <v>0</v>
          </cell>
          <cell r="BF1000">
            <v>0</v>
          </cell>
          <cell r="BG1000">
            <v>0</v>
          </cell>
        </row>
        <row r="1001">
          <cell r="E1001">
            <v>0</v>
          </cell>
          <cell r="F1001">
            <v>0</v>
          </cell>
          <cell r="K1001">
            <v>0</v>
          </cell>
          <cell r="L1001">
            <v>0</v>
          </cell>
          <cell r="W1001" t="str">
            <v>M2024</v>
          </cell>
          <cell r="X1001" t="str">
            <v>Cordel detonante NP10</v>
          </cell>
          <cell r="Y1001" t="str">
            <v>M</v>
          </cell>
          <cell r="Z1001">
            <v>1.4545999999999999</v>
          </cell>
          <cell r="AA1001">
            <v>0</v>
          </cell>
          <cell r="BC1001">
            <v>0</v>
          </cell>
          <cell r="BD1001">
            <v>0</v>
          </cell>
          <cell r="BE1001">
            <v>0</v>
          </cell>
          <cell r="BF1001">
            <v>0</v>
          </cell>
          <cell r="BG1001">
            <v>0</v>
          </cell>
        </row>
        <row r="1002">
          <cell r="E1002">
            <v>0</v>
          </cell>
          <cell r="F1002">
            <v>0</v>
          </cell>
          <cell r="K1002">
            <v>0</v>
          </cell>
          <cell r="L1002">
            <v>0</v>
          </cell>
          <cell r="W1002" t="str">
            <v>M0015</v>
          </cell>
          <cell r="X1002" t="str">
            <v>Espoleta elétrica</v>
          </cell>
          <cell r="Y1002" t="str">
            <v>und</v>
          </cell>
          <cell r="Z1002">
            <v>16.62</v>
          </cell>
          <cell r="AA1002">
            <v>0</v>
          </cell>
          <cell r="BC1002">
            <v>0</v>
          </cell>
          <cell r="BD1002">
            <v>0</v>
          </cell>
          <cell r="BE1002">
            <v>0</v>
          </cell>
          <cell r="BF1002">
            <v>0</v>
          </cell>
          <cell r="BG1002">
            <v>0</v>
          </cell>
        </row>
        <row r="1003">
          <cell r="E1003">
            <v>0</v>
          </cell>
          <cell r="F1003">
            <v>0</v>
          </cell>
          <cell r="K1003">
            <v>0</v>
          </cell>
          <cell r="L1003">
            <v>0</v>
          </cell>
          <cell r="W1003">
            <v>34481</v>
          </cell>
          <cell r="X1003" t="str">
            <v>CONCRETO USINADO BOMBEAVEL, CLASSE DE RESISTENCIA C45, COM BRITA 0 E 1, SLUMP = 100 +/- 20 MM, INCLUI SERVICO DE BOMBEAMENTO (NBR 8953)</v>
          </cell>
          <cell r="Y1003" t="str">
            <v>M3</v>
          </cell>
          <cell r="Z1003">
            <v>380.93</v>
          </cell>
          <cell r="AA1003">
            <v>0</v>
          </cell>
          <cell r="BC1003">
            <v>0</v>
          </cell>
          <cell r="BD1003">
            <v>0</v>
          </cell>
          <cell r="BE1003">
            <v>0</v>
          </cell>
          <cell r="BF1003">
            <v>0</v>
          </cell>
          <cell r="BG1003">
            <v>0</v>
          </cell>
        </row>
        <row r="1004">
          <cell r="E1004">
            <v>0</v>
          </cell>
          <cell r="F1004">
            <v>0</v>
          </cell>
          <cell r="K1004">
            <v>0</v>
          </cell>
          <cell r="L1004">
            <v>0</v>
          </cell>
          <cell r="W1004">
            <v>3767</v>
          </cell>
          <cell r="X1004" t="str">
            <v>LIXA EM FOLHA PARA PAREDE OU MADEIRA, NUMERO 120 (COR VERMELHA)</v>
          </cell>
          <cell r="Y1004" t="str">
            <v>UN</v>
          </cell>
          <cell r="Z1004">
            <v>0.68</v>
          </cell>
          <cell r="AA1004">
            <v>0</v>
          </cell>
          <cell r="BC1004">
            <v>0</v>
          </cell>
          <cell r="BD1004">
            <v>0</v>
          </cell>
          <cell r="BE1004">
            <v>0</v>
          </cell>
          <cell r="BF1004">
            <v>0</v>
          </cell>
          <cell r="BG1004">
            <v>0</v>
          </cell>
        </row>
        <row r="1005">
          <cell r="E1005">
            <v>0</v>
          </cell>
          <cell r="F1005">
            <v>0</v>
          </cell>
          <cell r="K1005">
            <v>0</v>
          </cell>
          <cell r="L1005">
            <v>0</v>
          </cell>
          <cell r="W1005">
            <v>3408</v>
          </cell>
          <cell r="X1005" t="str">
            <v>POLIESTIRENO EXPANDIDO/EPS (ISOPOR), TIPO 2F, PLACA, ISOLAMENTO TERMOACUSTICO, E = 10 MM, 1000 X 500 MM</v>
          </cell>
          <cell r="Y1005" t="str">
            <v>M2</v>
          </cell>
          <cell r="Z1005">
            <v>5.8</v>
          </cell>
          <cell r="AA1005">
            <v>0</v>
          </cell>
          <cell r="BC1005">
            <v>0</v>
          </cell>
          <cell r="BD1005">
            <v>0</v>
          </cell>
          <cell r="BE1005">
            <v>0</v>
          </cell>
          <cell r="BF1005">
            <v>0</v>
          </cell>
          <cell r="BG1005">
            <v>0</v>
          </cell>
        </row>
        <row r="1006">
          <cell r="E1006">
            <v>0</v>
          </cell>
          <cell r="F1006">
            <v>0</v>
          </cell>
          <cell r="K1006">
            <v>0</v>
          </cell>
          <cell r="L1006">
            <v>0</v>
          </cell>
          <cell r="W1006">
            <v>11615</v>
          </cell>
          <cell r="X1006" t="str">
            <v>POLIESTIRENO EXPANDIDO/EPS (ISOPOR), TIPO 2F, PLACA, ISOLAMENTO TERMOACUSTICO, E = 10 MM, 1000 X 500 MM</v>
          </cell>
          <cell r="Y1006" t="str">
            <v>m²</v>
          </cell>
          <cell r="Z1006">
            <v>2.1800000000000002</v>
          </cell>
          <cell r="AA1006">
            <v>0</v>
          </cell>
          <cell r="BC1006">
            <v>0</v>
          </cell>
          <cell r="BD1006">
            <v>0</v>
          </cell>
          <cell r="BE1006">
            <v>0</v>
          </cell>
          <cell r="BF1006">
            <v>0</v>
          </cell>
          <cell r="BG1006">
            <v>0</v>
          </cell>
        </row>
        <row r="1007">
          <cell r="E1007">
            <v>0</v>
          </cell>
          <cell r="F1007">
            <v>0</v>
          </cell>
          <cell r="K1007">
            <v>0</v>
          </cell>
          <cell r="L1007">
            <v>0</v>
          </cell>
          <cell r="W1007" t="str">
            <v>37.05.36.03</v>
          </cell>
          <cell r="X1007" t="str">
            <v>DISP. DELIMITADOR- BALIZADOR CIL. C/PEL.AI</v>
          </cell>
          <cell r="Y1007" t="str">
            <v>UN </v>
          </cell>
          <cell r="Z1007">
            <v>291.72649999999999</v>
          </cell>
          <cell r="AA1007">
            <v>0</v>
          </cell>
          <cell r="BD1007">
            <v>0</v>
          </cell>
        </row>
        <row r="1008">
          <cell r="E1008">
            <v>0</v>
          </cell>
          <cell r="F1008">
            <v>0</v>
          </cell>
          <cell r="K1008">
            <v>0</v>
          </cell>
          <cell r="L1008">
            <v>0</v>
          </cell>
          <cell r="W1008" t="str">
            <v>26.04.04</v>
          </cell>
          <cell r="X1008" t="str">
            <v>ANDAIME TUBULAR</v>
          </cell>
          <cell r="Y1008" t="str">
            <v>M3</v>
          </cell>
          <cell r="Z1008">
            <v>15.106</v>
          </cell>
          <cell r="AA1008">
            <v>0</v>
          </cell>
          <cell r="BD1008">
            <v>0</v>
          </cell>
        </row>
        <row r="1009">
          <cell r="E1009">
            <v>0</v>
          </cell>
          <cell r="F1009">
            <v>0</v>
          </cell>
          <cell r="K1009">
            <v>0</v>
          </cell>
          <cell r="L1009">
            <v>0</v>
          </cell>
          <cell r="W1009" t="str">
            <v>M1369</v>
          </cell>
          <cell r="X1009" t="str">
            <v>Selador para pintura acrílica</v>
          </cell>
          <cell r="Y1009" t="str">
            <v>L</v>
          </cell>
          <cell r="Z1009">
            <v>7.0197000000000003</v>
          </cell>
          <cell r="AA1009">
            <v>0</v>
          </cell>
          <cell r="BD1009">
            <v>0</v>
          </cell>
        </row>
        <row r="1010">
          <cell r="E1010">
            <v>0</v>
          </cell>
          <cell r="F1010">
            <v>0</v>
          </cell>
          <cell r="K1010">
            <v>0</v>
          </cell>
          <cell r="L1010">
            <v>0</v>
          </cell>
          <cell r="W1010" t="str">
            <v>M0880</v>
          </cell>
          <cell r="X1010" t="str">
            <v>Lixa para madeira e massa</v>
          </cell>
          <cell r="Y1010" t="str">
            <v>UN </v>
          </cell>
          <cell r="Z1010">
            <v>0.67</v>
          </cell>
          <cell r="AA1010">
            <v>0</v>
          </cell>
          <cell r="BD1010">
            <v>0</v>
          </cell>
        </row>
        <row r="1011">
          <cell r="E1011">
            <v>0</v>
          </cell>
          <cell r="F1011">
            <v>0</v>
          </cell>
          <cell r="K1011">
            <v>0</v>
          </cell>
          <cell r="L1011">
            <v>0</v>
          </cell>
          <cell r="W1011">
            <v>37545</v>
          </cell>
          <cell r="X1011" t="str">
            <v>MASSA BASE ÓLEO PARA MADEIRA</v>
          </cell>
          <cell r="Y1011" t="str">
            <v>L</v>
          </cell>
          <cell r="Z1011">
            <v>18.309999999999999</v>
          </cell>
          <cell r="AA1011">
            <v>0</v>
          </cell>
          <cell r="BD1011">
            <v>0</v>
          </cell>
        </row>
        <row r="1012">
          <cell r="E1012">
            <v>0</v>
          </cell>
          <cell r="F1012">
            <v>0</v>
          </cell>
          <cell r="K1012">
            <v>0</v>
          </cell>
          <cell r="L1012">
            <v>0</v>
          </cell>
          <cell r="W1012" t="str">
            <v>M2046</v>
          </cell>
          <cell r="X1012" t="str">
            <v>TCI tricone bits de 121 mm</v>
          </cell>
          <cell r="Y1012" t="str">
            <v>UN </v>
          </cell>
          <cell r="Z1012">
            <v>1510.49</v>
          </cell>
          <cell r="AA1012">
            <v>0</v>
          </cell>
          <cell r="BD1012">
            <v>0</v>
          </cell>
        </row>
        <row r="1013">
          <cell r="E1013">
            <v>0</v>
          </cell>
          <cell r="F1013">
            <v>0</v>
          </cell>
          <cell r="K1013">
            <v>0</v>
          </cell>
          <cell r="L1013">
            <v>0</v>
          </cell>
          <cell r="W1013" t="str">
            <v>M2465</v>
          </cell>
          <cell r="X1013" t="str">
            <v>Bainha metálica - D = 40 mm</v>
          </cell>
          <cell r="Y1013" t="str">
            <v>m</v>
          </cell>
          <cell r="Z1013">
            <v>16.119499999999999</v>
          </cell>
          <cell r="AA1013">
            <v>0</v>
          </cell>
          <cell r="BD1013">
            <v>0</v>
          </cell>
        </row>
        <row r="1014">
          <cell r="E1014">
            <v>0</v>
          </cell>
          <cell r="F1014">
            <v>0</v>
          </cell>
          <cell r="K1014">
            <v>0</v>
          </cell>
          <cell r="L1014">
            <v>0</v>
          </cell>
          <cell r="W1014" t="str">
            <v>M1935</v>
          </cell>
          <cell r="X1014" t="str">
            <v>Espaçador para tirante de barra de aço - D = 32 mm</v>
          </cell>
          <cell r="Y1014" t="str">
            <v>UN </v>
          </cell>
          <cell r="Z1014">
            <v>6.1163999999999996</v>
          </cell>
          <cell r="AA1014">
            <v>0</v>
          </cell>
          <cell r="BD1014">
            <v>0</v>
          </cell>
        </row>
        <row r="1015">
          <cell r="E1015">
            <v>0</v>
          </cell>
          <cell r="F1015">
            <v>0</v>
          </cell>
          <cell r="K1015">
            <v>0</v>
          </cell>
          <cell r="L1015">
            <v>0</v>
          </cell>
          <cell r="W1015" t="str">
            <v>M1982</v>
          </cell>
          <cell r="X1015" t="str">
            <v>Luva de emenda para tirantes - D = 50 x 130 mm</v>
          </cell>
          <cell r="Y1015" t="str">
            <v>UN </v>
          </cell>
          <cell r="Z1015">
            <v>48.231900000000003</v>
          </cell>
          <cell r="AA1015">
            <v>0</v>
          </cell>
          <cell r="BD1015">
            <v>0</v>
          </cell>
        </row>
        <row r="1016">
          <cell r="E1016">
            <v>0</v>
          </cell>
          <cell r="F1016">
            <v>0</v>
          </cell>
          <cell r="K1016">
            <v>0</v>
          </cell>
          <cell r="L1016">
            <v>0</v>
          </cell>
          <cell r="W1016" t="str">
            <v>M3094</v>
          </cell>
          <cell r="X1016" t="str">
            <v>Tirante de aço ST 50/55 de capacidade 210 kN - D = 32 mm</v>
          </cell>
          <cell r="Y1016" t="str">
            <v>kg</v>
          </cell>
          <cell r="Z1016">
            <v>11.282</v>
          </cell>
          <cell r="AA1016">
            <v>0</v>
          </cell>
          <cell r="BD1016">
            <v>0</v>
          </cell>
        </row>
        <row r="1017">
          <cell r="E1017">
            <v>0</v>
          </cell>
          <cell r="F1017">
            <v>0</v>
          </cell>
          <cell r="K1017">
            <v>0</v>
          </cell>
          <cell r="L1017">
            <v>0</v>
          </cell>
          <cell r="W1017" t="str">
            <v>M1879</v>
          </cell>
          <cell r="X1017" t="str">
            <v>Tubo PE 80 PN6 - D = 40 mm</v>
          </cell>
          <cell r="Y1017" t="str">
            <v>m</v>
          </cell>
          <cell r="Z1017">
            <v>5.1492000000000004</v>
          </cell>
          <cell r="AA1017">
            <v>0</v>
          </cell>
          <cell r="BD1017">
            <v>0</v>
          </cell>
        </row>
        <row r="1018">
          <cell r="B1018">
            <v>0</v>
          </cell>
          <cell r="C1018">
            <v>0</v>
          </cell>
          <cell r="D1018">
            <v>0</v>
          </cell>
          <cell r="E1018">
            <v>0</v>
          </cell>
          <cell r="G1018">
            <v>0</v>
          </cell>
          <cell r="H1018">
            <v>0</v>
          </cell>
          <cell r="K1018">
            <v>0</v>
          </cell>
          <cell r="L1018">
            <v>0</v>
          </cell>
          <cell r="W1018" t="str">
            <v>M1919</v>
          </cell>
          <cell r="X1018" t="str">
            <v>Tubo PE 80 PN8 - D = 110 mm</v>
          </cell>
          <cell r="Y1018" t="str">
            <v>m</v>
          </cell>
          <cell r="Z1018">
            <v>37.258800000000001</v>
          </cell>
          <cell r="AA1018">
            <v>0</v>
          </cell>
          <cell r="BD1018">
            <v>0</v>
          </cell>
        </row>
        <row r="1019">
          <cell r="E1019">
            <v>0</v>
          </cell>
          <cell r="F1019">
            <v>0</v>
          </cell>
          <cell r="K1019">
            <v>0</v>
          </cell>
          <cell r="L1019">
            <v>0</v>
          </cell>
          <cell r="W1019" t="str">
            <v>M3095</v>
          </cell>
          <cell r="X1019" t="str">
            <v>Válvula manchete - D = 20 mm</v>
          </cell>
          <cell r="Y1019" t="str">
            <v>UN </v>
          </cell>
          <cell r="Z1019">
            <v>1.6882999999999999</v>
          </cell>
          <cell r="AA1019">
            <v>0</v>
          </cell>
          <cell r="BD1019">
            <v>0</v>
          </cell>
        </row>
        <row r="1020">
          <cell r="E1020">
            <v>0</v>
          </cell>
          <cell r="F1020">
            <v>0</v>
          </cell>
          <cell r="K1020">
            <v>0</v>
          </cell>
          <cell r="L1020">
            <v>0</v>
          </cell>
          <cell r="W1020" t="str">
            <v>E9716</v>
          </cell>
          <cell r="X1020" t="str">
            <v>Conjunto bomba e macaco hidráulico para protensão com capacidade de 590 kN</v>
          </cell>
          <cell r="Y1020" t="str">
            <v>h</v>
          </cell>
          <cell r="Z1020">
            <v>41.302399999999999</v>
          </cell>
          <cell r="AA1020">
            <v>40.525399999999998</v>
          </cell>
          <cell r="BD1020">
            <v>0</v>
          </cell>
        </row>
        <row r="1021">
          <cell r="E1021">
            <v>0</v>
          </cell>
          <cell r="F1021">
            <v>0</v>
          </cell>
          <cell r="K1021">
            <v>0</v>
          </cell>
          <cell r="L1021">
            <v>0</v>
          </cell>
          <cell r="W1021" t="str">
            <v>M0440</v>
          </cell>
          <cell r="X1021" t="str">
            <v>Anel de compensação angular de até 45°</v>
          </cell>
          <cell r="Y1021" t="str">
            <v>UN </v>
          </cell>
          <cell r="Z1021">
            <v>30.635400000000001</v>
          </cell>
          <cell r="AA1021">
            <v>0</v>
          </cell>
          <cell r="BD1021">
            <v>0</v>
          </cell>
        </row>
        <row r="1022">
          <cell r="E1022">
            <v>0</v>
          </cell>
          <cell r="F1022">
            <v>0</v>
          </cell>
          <cell r="K1022">
            <v>0</v>
          </cell>
          <cell r="L1022">
            <v>0</v>
          </cell>
          <cell r="W1022" t="str">
            <v>M1992</v>
          </cell>
          <cell r="X1022" t="str">
            <v>Placa de ancoragem para tirante de 200 x 200 x 25 mm</v>
          </cell>
          <cell r="Y1022" t="str">
            <v>UN </v>
          </cell>
          <cell r="Z1022">
            <v>100.02809999999999</v>
          </cell>
          <cell r="AA1022">
            <v>0</v>
          </cell>
          <cell r="BD1022">
            <v>0</v>
          </cell>
        </row>
        <row r="1023">
          <cell r="E1023">
            <v>0</v>
          </cell>
          <cell r="F1023">
            <v>0</v>
          </cell>
          <cell r="K1023">
            <v>0</v>
          </cell>
          <cell r="L1023">
            <v>0</v>
          </cell>
          <cell r="W1023" t="str">
            <v>M2015</v>
          </cell>
          <cell r="X1023" t="str">
            <v>Porca sextavada para tirante de 50 x 60 mm</v>
          </cell>
          <cell r="Y1023" t="str">
            <v>UN </v>
          </cell>
          <cell r="Z1023">
            <v>24.943899999999999</v>
          </cell>
          <cell r="AA1023">
            <v>0</v>
          </cell>
          <cell r="BD1023">
            <v>0</v>
          </cell>
        </row>
        <row r="1024">
          <cell r="E1024">
            <v>0</v>
          </cell>
          <cell r="F1024">
            <v>0</v>
          </cell>
          <cell r="K1024">
            <v>0</v>
          </cell>
          <cell r="L1024">
            <v>0</v>
          </cell>
          <cell r="W1024">
            <v>5605941</v>
          </cell>
          <cell r="X1024" t="str">
            <v>Forma em chapa metálica 1/8' para cabeça de tirantes com base de 40 x 40 cm, topo de 20 x 20 cm e altura de 30 cm - utilização de 50 vezes - confecção, instalação e retirada</v>
          </cell>
          <cell r="Y1024" t="str">
            <v>UN </v>
          </cell>
          <cell r="Z1024">
            <v>6.05</v>
          </cell>
          <cell r="AA1024">
            <v>0</v>
          </cell>
          <cell r="BD1024">
            <v>0</v>
          </cell>
        </row>
        <row r="1025">
          <cell r="E1025">
            <v>0</v>
          </cell>
          <cell r="F1025">
            <v>0</v>
          </cell>
          <cell r="K1025">
            <v>0</v>
          </cell>
          <cell r="L1025">
            <v>0</v>
          </cell>
          <cell r="W1025" t="str">
            <v>M3089</v>
          </cell>
          <cell r="X1025" t="str">
            <v>Arame liso galvanizado 18 BWG - Caminhão carroceria 15 t</v>
          </cell>
          <cell r="Y1025" t="str">
            <v>m²</v>
          </cell>
          <cell r="Z1025">
            <v>10.4352</v>
          </cell>
          <cell r="AA1025">
            <v>0</v>
          </cell>
          <cell r="BD1025">
            <v>0</v>
          </cell>
        </row>
        <row r="1026">
          <cell r="E1026">
            <v>0</v>
          </cell>
          <cell r="F1026">
            <v>0</v>
          </cell>
          <cell r="K1026">
            <v>0</v>
          </cell>
          <cell r="L1026">
            <v>0</v>
          </cell>
          <cell r="W1026" t="str">
            <v>M3093</v>
          </cell>
          <cell r="X1026" t="str">
            <v>Tela de nylon gramatura 60 fios</v>
          </cell>
          <cell r="Y1026" t="str">
            <v>m²</v>
          </cell>
          <cell r="Z1026">
            <v>26.25</v>
          </cell>
          <cell r="AA1026">
            <v>0</v>
          </cell>
          <cell r="BD1026">
            <v>0</v>
          </cell>
        </row>
        <row r="1027">
          <cell r="E1027">
            <v>0</v>
          </cell>
          <cell r="F1027">
            <v>0</v>
          </cell>
          <cell r="K1027">
            <v>0</v>
          </cell>
          <cell r="L1027">
            <v>0</v>
          </cell>
          <cell r="W1027" t="str">
            <v>M1656</v>
          </cell>
          <cell r="X1027" t="str">
            <v>Tubo de PVC esgoto - D = 75 mm</v>
          </cell>
          <cell r="Y1027" t="str">
            <v>m</v>
          </cell>
          <cell r="Z1027">
            <v>7.4638</v>
          </cell>
          <cell r="AA1027">
            <v>0</v>
          </cell>
          <cell r="BD1027">
            <v>0</v>
          </cell>
        </row>
        <row r="1028">
          <cell r="E1028">
            <v>0</v>
          </cell>
          <cell r="F1028">
            <v>0</v>
          </cell>
          <cell r="K1028">
            <v>0</v>
          </cell>
          <cell r="L1028">
            <v>0</v>
          </cell>
          <cell r="W1028">
            <v>71202</v>
          </cell>
          <cell r="X1028" t="str">
            <v>ANEL DE BORRACHA PARA TUBO DE FERRO FUNDIDO LINHA SMU ESGOTO PREDIAL - 75MM</v>
          </cell>
          <cell r="Y1028" t="str">
            <v>Un</v>
          </cell>
          <cell r="Z1028">
            <v>3.54</v>
          </cell>
          <cell r="AA1028">
            <v>0</v>
          </cell>
          <cell r="BD1028">
            <v>0</v>
          </cell>
        </row>
        <row r="1029">
          <cell r="E1029">
            <v>0</v>
          </cell>
          <cell r="F1029">
            <v>0</v>
          </cell>
          <cell r="K1029">
            <v>0</v>
          </cell>
          <cell r="L1029">
            <v>0</v>
          </cell>
          <cell r="W1029">
            <v>71232</v>
          </cell>
          <cell r="X1029" t="str">
            <v>TUBO FERRO FUNDIDO; LINHA SMU -  75MM</v>
          </cell>
          <cell r="Y1029" t="str">
            <v>M</v>
          </cell>
          <cell r="Z1029">
            <v>106.47</v>
          </cell>
          <cell r="AA1029">
            <v>0</v>
          </cell>
          <cell r="BD1029">
            <v>0</v>
          </cell>
        </row>
        <row r="1030">
          <cell r="E1030">
            <v>0</v>
          </cell>
          <cell r="F1030">
            <v>0</v>
          </cell>
          <cell r="K1030">
            <v>0</v>
          </cell>
          <cell r="L1030">
            <v>0</v>
          </cell>
          <cell r="W1030" t="str">
            <v>COT001</v>
          </cell>
          <cell r="X1030" t="str">
            <v>Remanejamento/Execução de torre de transmissão de energia em Aparecida/SP</v>
          </cell>
          <cell r="Y1030" t="str">
            <v>VB</v>
          </cell>
          <cell r="Z1030">
            <v>530000</v>
          </cell>
          <cell r="AA1030">
            <v>0</v>
          </cell>
          <cell r="BD1030">
            <v>0</v>
          </cell>
        </row>
        <row r="1031">
          <cell r="E1031">
            <v>0</v>
          </cell>
          <cell r="F1031">
            <v>0</v>
          </cell>
          <cell r="K1031">
            <v>0</v>
          </cell>
          <cell r="L1031">
            <v>0</v>
          </cell>
          <cell r="W1031" t="str">
            <v>COT002</v>
          </cell>
          <cell r="X1031" t="str">
            <v>TELA TIPO SPIDER S4 - 230 SUPERCOATING - RT LONG. 220</v>
          </cell>
          <cell r="Y1031" t="str">
            <v>m²</v>
          </cell>
          <cell r="Z1031">
            <v>282</v>
          </cell>
          <cell r="AA1031">
            <v>0</v>
          </cell>
          <cell r="BD1031">
            <v>0</v>
          </cell>
        </row>
        <row r="1032">
          <cell r="E1032">
            <v>0</v>
          </cell>
          <cell r="F1032">
            <v>0</v>
          </cell>
          <cell r="K1032">
            <v>0</v>
          </cell>
          <cell r="L1032">
            <v>0</v>
          </cell>
          <cell r="W1032" t="str">
            <v>COT003</v>
          </cell>
          <cell r="X1032" t="str">
            <v>Fôrma, Painel c/ Acessórios (Fenólico Novo), Aparente Trepante</v>
          </cell>
          <cell r="Y1032" t="str">
            <v>m²xdia</v>
          </cell>
          <cell r="Z1032">
            <v>1.05</v>
          </cell>
          <cell r="AA1032">
            <v>0</v>
          </cell>
          <cell r="BD1032">
            <v>0</v>
          </cell>
        </row>
        <row r="1033">
          <cell r="E1033">
            <v>0</v>
          </cell>
          <cell r="F1033">
            <v>0</v>
          </cell>
          <cell r="K1033">
            <v>0</v>
          </cell>
          <cell r="L1033">
            <v>0</v>
          </cell>
          <cell r="W1033" t="str">
            <v>COT004</v>
          </cell>
          <cell r="X1033" t="str">
            <v>Macaqueamento de estrutura</v>
          </cell>
          <cell r="Y1033" t="str">
            <v>UN </v>
          </cell>
          <cell r="Z1033">
            <v>36000</v>
          </cell>
          <cell r="AA1033">
            <v>0</v>
          </cell>
          <cell r="BD1033">
            <v>0</v>
          </cell>
        </row>
        <row r="1034">
          <cell r="E1034">
            <v>0</v>
          </cell>
          <cell r="F1034">
            <v>0</v>
          </cell>
          <cell r="K1034">
            <v>0</v>
          </cell>
          <cell r="L1034">
            <v>0</v>
          </cell>
          <cell r="W1034" t="str">
            <v>COT005</v>
          </cell>
          <cell r="X1034" t="str">
            <v>SINALIZAÇÃO SONORA</v>
          </cell>
          <cell r="Y1034" t="str">
            <v>m</v>
          </cell>
          <cell r="Z1034">
            <v>9900</v>
          </cell>
          <cell r="AA1034">
            <v>0</v>
          </cell>
          <cell r="BD1034">
            <v>0</v>
          </cell>
        </row>
        <row r="1035">
          <cell r="E1035">
            <v>0</v>
          </cell>
          <cell r="K1035">
            <v>0</v>
          </cell>
          <cell r="L1035">
            <v>0</v>
          </cell>
          <cell r="W1035" t="str">
            <v>COT006</v>
          </cell>
          <cell r="X1035" t="str">
            <v>Carro de avanço sucessivo</v>
          </cell>
          <cell r="Y1035" t="str">
            <v>undxmês</v>
          </cell>
          <cell r="Z1035">
            <v>22500</v>
          </cell>
          <cell r="AA1035">
            <v>0</v>
          </cell>
          <cell r="BD1035">
            <v>0</v>
          </cell>
        </row>
        <row r="1036">
          <cell r="E1036">
            <v>0</v>
          </cell>
          <cell r="K1036">
            <v>0</v>
          </cell>
          <cell r="L1036">
            <v>0</v>
          </cell>
          <cell r="W1036" t="str">
            <v>COT007</v>
          </cell>
          <cell r="X1036" t="str">
            <v>Lançamento de vigas através de treliça lançadeira</v>
          </cell>
          <cell r="Y1036" t="str">
            <v>und</v>
          </cell>
          <cell r="Z1036">
            <v>9723</v>
          </cell>
          <cell r="AA1036">
            <v>0</v>
          </cell>
          <cell r="BD1036">
            <v>0</v>
          </cell>
        </row>
        <row r="1037">
          <cell r="E1037">
            <v>0</v>
          </cell>
          <cell r="K1037">
            <v>0</v>
          </cell>
          <cell r="L1037">
            <v>0</v>
          </cell>
          <cell r="W1037" t="str">
            <v>COT008</v>
          </cell>
          <cell r="X1037" t="str">
            <v>Fornecimento de Formas, Andaimes e Escoramento (incluso retirada e devolução) - FORMA APARENTE TREPANTE</v>
          </cell>
          <cell r="Y1037" t="str">
            <v>m²</v>
          </cell>
          <cell r="Z1037">
            <v>35.699999999999996</v>
          </cell>
          <cell r="AA1037">
            <v>0</v>
          </cell>
          <cell r="BD1037">
            <v>0</v>
          </cell>
        </row>
        <row r="1038">
          <cell r="E1038">
            <v>0</v>
          </cell>
          <cell r="K1038">
            <v>0</v>
          </cell>
          <cell r="L1038">
            <v>0</v>
          </cell>
          <cell r="W1038" t="str">
            <v>COT009</v>
          </cell>
          <cell r="X1038" t="str">
            <v>Fornecimento de Formas, Andaimes e Escoramento (incluso retirada e devolução) - FORMA DESLIZANTE PARA PILARES</v>
          </cell>
          <cell r="Y1038" t="str">
            <v>m²</v>
          </cell>
          <cell r="Z1038">
            <v>124.19999999999999</v>
          </cell>
          <cell r="AA1038">
            <v>0</v>
          </cell>
          <cell r="BD1038">
            <v>0</v>
          </cell>
        </row>
        <row r="1039">
          <cell r="E1039">
            <v>0</v>
          </cell>
          <cell r="W1039" t="str">
            <v>COT010</v>
          </cell>
          <cell r="X1039" t="str">
            <v>Fornecimento de Formas, Andaimes e Escoramento (incluso retirada e devolução) - FORMA CURVA TREPANTE PARA PILARES</v>
          </cell>
          <cell r="Y1039" t="str">
            <v>m²</v>
          </cell>
          <cell r="Z1039">
            <v>26.7</v>
          </cell>
          <cell r="AA1039">
            <v>0</v>
          </cell>
          <cell r="BD1039">
            <v>0</v>
          </cell>
        </row>
        <row r="1040">
          <cell r="E1040">
            <v>0</v>
          </cell>
          <cell r="W1040" t="str">
            <v>COT011</v>
          </cell>
          <cell r="X1040" t="str">
            <v>Fornecimento de Formas, Andaimes e Escoramento (incluso retirada e devolução) - FORMA TREPANTE PARA PILARES</v>
          </cell>
          <cell r="Y1040" t="str">
            <v>m²</v>
          </cell>
          <cell r="Z1040">
            <v>35.699999999999996</v>
          </cell>
          <cell r="AA1040">
            <v>0</v>
          </cell>
          <cell r="BD1040">
            <v>0</v>
          </cell>
        </row>
        <row r="1041">
          <cell r="W1041" t="str">
            <v>COT012</v>
          </cell>
          <cell r="X1041" t="str">
            <v>Fornecimento de Barreira Móvel de concreto com equipamento</v>
          </cell>
          <cell r="Y1041" t="str">
            <v>m</v>
          </cell>
          <cell r="Z1041">
            <v>4244.833846153846</v>
          </cell>
          <cell r="AA1041">
            <v>0</v>
          </cell>
          <cell r="BD1041">
            <v>0</v>
          </cell>
        </row>
        <row r="1042">
          <cell r="W1042" t="str">
            <v>COT013</v>
          </cell>
          <cell r="X1042" t="str">
            <v>Guindaste 30t</v>
          </cell>
          <cell r="Y1042" t="str">
            <v>undxmês</v>
          </cell>
          <cell r="Z1042">
            <v>32000</v>
          </cell>
          <cell r="AA1042">
            <v>0</v>
          </cell>
          <cell r="BD1042">
            <v>0</v>
          </cell>
        </row>
        <row r="1043">
          <cell r="W1043" t="str">
            <v>COT014</v>
          </cell>
          <cell r="X1043" t="str">
            <v>Guindaste 160t</v>
          </cell>
          <cell r="Y1043" t="str">
            <v>undxmês</v>
          </cell>
          <cell r="Z1043">
            <v>96000</v>
          </cell>
          <cell r="AA1043">
            <v>0</v>
          </cell>
          <cell r="BD1043">
            <v>0</v>
          </cell>
        </row>
        <row r="1044">
          <cell r="W1044" t="str">
            <v>M0786</v>
          </cell>
          <cell r="X1044" t="str">
            <v>Isopor</v>
          </cell>
          <cell r="Y1044" t="str">
            <v>m³</v>
          </cell>
          <cell r="Z1044">
            <v>178.27379999999999</v>
          </cell>
          <cell r="AA1044">
            <v>0</v>
          </cell>
          <cell r="BD1044">
            <v>0</v>
          </cell>
        </row>
        <row r="1045">
          <cell r="W1045">
            <v>4816128</v>
          </cell>
          <cell r="X1045" t="str">
            <v>Fabricação de mourão de concreto esticador - seção quadradade 15 cm - areia extraída e brita produzida</v>
          </cell>
          <cell r="Y1045" t="str">
            <v>m</v>
          </cell>
          <cell r="Z1045">
            <v>31.41</v>
          </cell>
          <cell r="AA1045">
            <v>0</v>
          </cell>
          <cell r="BD1045">
            <v>0</v>
          </cell>
        </row>
        <row r="1046">
          <cell r="W1046">
            <v>4816130</v>
          </cell>
          <cell r="X1046" t="str">
            <v>Fabricação de mourão de concreto suporte - seção quadrada de 11 cm - areia extraída e brita produzida</v>
          </cell>
          <cell r="Y1046" t="str">
            <v>m</v>
          </cell>
          <cell r="Z1046">
            <v>20.239999999999998</v>
          </cell>
          <cell r="AA1046">
            <v>0</v>
          </cell>
          <cell r="BD1046">
            <v>0</v>
          </cell>
        </row>
        <row r="1047">
          <cell r="W1047">
            <v>0</v>
          </cell>
          <cell r="X1047">
            <v>0</v>
          </cell>
          <cell r="Y1047">
            <v>0</v>
          </cell>
          <cell r="Z1047">
            <v>0</v>
          </cell>
          <cell r="AA1047">
            <v>0</v>
          </cell>
          <cell r="BD1047">
            <v>0</v>
          </cell>
        </row>
        <row r="1048">
          <cell r="W1048">
            <v>0</v>
          </cell>
          <cell r="X1048">
            <v>0</v>
          </cell>
          <cell r="Y1048">
            <v>0</v>
          </cell>
          <cell r="Z1048">
            <v>0</v>
          </cell>
          <cell r="AA1048">
            <v>0</v>
          </cell>
          <cell r="BD1048">
            <v>0</v>
          </cell>
        </row>
        <row r="1049">
          <cell r="W1049">
            <v>0</v>
          </cell>
          <cell r="X1049">
            <v>0</v>
          </cell>
          <cell r="Y1049">
            <v>0</v>
          </cell>
          <cell r="AA1049">
            <v>0</v>
          </cell>
          <cell r="BD1049">
            <v>0</v>
          </cell>
        </row>
        <row r="1050">
          <cell r="W1050">
            <v>0</v>
          </cell>
          <cell r="X1050">
            <v>0</v>
          </cell>
          <cell r="AA1050">
            <v>0</v>
          </cell>
          <cell r="BD1050">
            <v>0</v>
          </cell>
        </row>
        <row r="1051">
          <cell r="W1051">
            <v>0</v>
          </cell>
          <cell r="X1051">
            <v>0</v>
          </cell>
          <cell r="AA1051">
            <v>0</v>
          </cell>
          <cell r="BD1051">
            <v>0</v>
          </cell>
        </row>
        <row r="1052">
          <cell r="W1052">
            <v>0</v>
          </cell>
          <cell r="X1052">
            <v>0</v>
          </cell>
          <cell r="AA1052">
            <v>0</v>
          </cell>
          <cell r="BD1052">
            <v>0</v>
          </cell>
        </row>
        <row r="1053">
          <cell r="W1053">
            <v>0</v>
          </cell>
          <cell r="X1053">
            <v>0</v>
          </cell>
          <cell r="Y1053">
            <v>0</v>
          </cell>
          <cell r="AA1053">
            <v>0</v>
          </cell>
          <cell r="BD1053">
            <v>0</v>
          </cell>
        </row>
        <row r="1054">
          <cell r="X1054">
            <v>0</v>
          </cell>
          <cell r="AA1054">
            <v>0</v>
          </cell>
          <cell r="BD1054">
            <v>0</v>
          </cell>
        </row>
        <row r="1055">
          <cell r="X1055">
            <v>0</v>
          </cell>
          <cell r="AA1055">
            <v>0</v>
          </cell>
          <cell r="BD1055">
            <v>0</v>
          </cell>
        </row>
        <row r="1056">
          <cell r="X1056">
            <v>0</v>
          </cell>
          <cell r="AA1056">
            <v>0</v>
          </cell>
          <cell r="BD1056">
            <v>0</v>
          </cell>
        </row>
        <row r="1057">
          <cell r="X1057">
            <v>0</v>
          </cell>
          <cell r="AA1057">
            <v>0</v>
          </cell>
          <cell r="BD1057">
            <v>0</v>
          </cell>
        </row>
        <row r="1058">
          <cell r="X1058">
            <v>0</v>
          </cell>
          <cell r="AA1058">
            <v>0</v>
          </cell>
          <cell r="BD1058">
            <v>0</v>
          </cell>
        </row>
        <row r="1059">
          <cell r="X1059">
            <v>0</v>
          </cell>
          <cell r="AA1059">
            <v>0</v>
          </cell>
          <cell r="BD1059">
            <v>0</v>
          </cell>
        </row>
        <row r="1060">
          <cell r="X1060">
            <v>0</v>
          </cell>
          <cell r="AA1060">
            <v>0</v>
          </cell>
          <cell r="BD1060">
            <v>0</v>
          </cell>
        </row>
        <row r="1061">
          <cell r="X1061">
            <v>0</v>
          </cell>
          <cell r="AA1061">
            <v>0</v>
          </cell>
          <cell r="BD1061">
            <v>0</v>
          </cell>
        </row>
        <row r="1062">
          <cell r="X1062">
            <v>0</v>
          </cell>
          <cell r="AA1062">
            <v>0</v>
          </cell>
          <cell r="BD1062">
            <v>0</v>
          </cell>
        </row>
        <row r="1063">
          <cell r="X1063">
            <v>0</v>
          </cell>
          <cell r="AA1063">
            <v>0</v>
          </cell>
          <cell r="BD1063">
            <v>0</v>
          </cell>
        </row>
        <row r="1064">
          <cell r="X1064">
            <v>0</v>
          </cell>
          <cell r="AA1064">
            <v>0</v>
          </cell>
          <cell r="BD1064">
            <v>0</v>
          </cell>
        </row>
        <row r="1065">
          <cell r="X1065">
            <v>0</v>
          </cell>
          <cell r="AA1065">
            <v>0</v>
          </cell>
          <cell r="BD1065">
            <v>0</v>
          </cell>
        </row>
        <row r="1066">
          <cell r="X1066">
            <v>0</v>
          </cell>
          <cell r="AA1066">
            <v>0</v>
          </cell>
          <cell r="BD1066">
            <v>0</v>
          </cell>
        </row>
        <row r="1067">
          <cell r="X1067">
            <v>0</v>
          </cell>
          <cell r="AA1067">
            <v>0</v>
          </cell>
          <cell r="BD1067">
            <v>0</v>
          </cell>
        </row>
        <row r="1068">
          <cell r="X1068">
            <v>0</v>
          </cell>
          <cell r="AA1068">
            <v>0</v>
          </cell>
          <cell r="BD1068">
            <v>0</v>
          </cell>
        </row>
        <row r="1069">
          <cell r="X1069">
            <v>0</v>
          </cell>
          <cell r="AA1069">
            <v>0</v>
          </cell>
          <cell r="BD1069">
            <v>0</v>
          </cell>
        </row>
        <row r="1070">
          <cell r="X1070">
            <v>0</v>
          </cell>
          <cell r="AA1070">
            <v>0</v>
          </cell>
          <cell r="BD1070">
            <v>0</v>
          </cell>
        </row>
        <row r="1071">
          <cell r="X1071">
            <v>0</v>
          </cell>
          <cell r="AA1071">
            <v>0</v>
          </cell>
          <cell r="BD1071">
            <v>0</v>
          </cell>
        </row>
        <row r="1072">
          <cell r="X1072">
            <v>0</v>
          </cell>
          <cell r="AA1072">
            <v>0</v>
          </cell>
          <cell r="BD1072">
            <v>0</v>
          </cell>
        </row>
        <row r="1073">
          <cell r="X1073">
            <v>0</v>
          </cell>
          <cell r="AA1073">
            <v>0</v>
          </cell>
          <cell r="BD1073">
            <v>0</v>
          </cell>
        </row>
        <row r="1074">
          <cell r="W1074">
            <v>0</v>
          </cell>
          <cell r="X1074">
            <v>0</v>
          </cell>
          <cell r="Y1074">
            <v>0</v>
          </cell>
          <cell r="Z1074">
            <v>0</v>
          </cell>
          <cell r="AA1074">
            <v>0</v>
          </cell>
          <cell r="BD1074">
            <v>0</v>
          </cell>
        </row>
        <row r="1075">
          <cell r="W1075">
            <v>0</v>
          </cell>
          <cell r="X1075">
            <v>0</v>
          </cell>
          <cell r="Y1075">
            <v>0</v>
          </cell>
          <cell r="Z1075">
            <v>0</v>
          </cell>
          <cell r="AA1075">
            <v>0</v>
          </cell>
          <cell r="BD1075">
            <v>0</v>
          </cell>
        </row>
        <row r="1076">
          <cell r="W1076">
            <v>0</v>
          </cell>
          <cell r="X1076">
            <v>0</v>
          </cell>
          <cell r="Y1076">
            <v>0</v>
          </cell>
          <cell r="Z1076">
            <v>0</v>
          </cell>
          <cell r="AA1076">
            <v>0</v>
          </cell>
          <cell r="BD1076">
            <v>0</v>
          </cell>
        </row>
        <row r="1077">
          <cell r="W1077">
            <v>0</v>
          </cell>
          <cell r="X1077">
            <v>0</v>
          </cell>
          <cell r="Y1077">
            <v>0</v>
          </cell>
          <cell r="Z1077">
            <v>0</v>
          </cell>
          <cell r="AA1077">
            <v>0</v>
          </cell>
          <cell r="BD1077">
            <v>0</v>
          </cell>
        </row>
        <row r="1078">
          <cell r="W1078">
            <v>0</v>
          </cell>
          <cell r="X1078">
            <v>0</v>
          </cell>
          <cell r="Y1078">
            <v>0</v>
          </cell>
          <cell r="Z1078">
            <v>0</v>
          </cell>
          <cell r="AA1078">
            <v>0</v>
          </cell>
          <cell r="BD1078">
            <v>0</v>
          </cell>
        </row>
        <row r="1079">
          <cell r="W1079">
            <v>0</v>
          </cell>
          <cell r="X1079">
            <v>0</v>
          </cell>
          <cell r="Y1079">
            <v>0</v>
          </cell>
          <cell r="Z1079">
            <v>0</v>
          </cell>
          <cell r="AA1079">
            <v>0</v>
          </cell>
          <cell r="BD1079">
            <v>0</v>
          </cell>
        </row>
        <row r="1080">
          <cell r="W1080">
            <v>0</v>
          </cell>
          <cell r="X1080">
            <v>0</v>
          </cell>
          <cell r="Y1080">
            <v>0</v>
          </cell>
          <cell r="Z1080">
            <v>0</v>
          </cell>
          <cell r="AA1080">
            <v>0</v>
          </cell>
          <cell r="BD1080">
            <v>0</v>
          </cell>
        </row>
        <row r="1081">
          <cell r="W1081">
            <v>0</v>
          </cell>
          <cell r="X1081">
            <v>0</v>
          </cell>
          <cell r="Y1081">
            <v>0</v>
          </cell>
          <cell r="Z1081">
            <v>0</v>
          </cell>
          <cell r="AA1081">
            <v>0</v>
          </cell>
          <cell r="BD1081">
            <v>0</v>
          </cell>
        </row>
        <row r="1082">
          <cell r="W1082">
            <v>0</v>
          </cell>
          <cell r="X1082">
            <v>0</v>
          </cell>
          <cell r="Y1082">
            <v>0</v>
          </cell>
          <cell r="Z1082">
            <v>0</v>
          </cell>
          <cell r="AA1082">
            <v>0</v>
          </cell>
          <cell r="BD1082">
            <v>0</v>
          </cell>
        </row>
        <row r="1083">
          <cell r="W1083">
            <v>0</v>
          </cell>
          <cell r="X1083">
            <v>0</v>
          </cell>
          <cell r="Y1083">
            <v>0</v>
          </cell>
          <cell r="Z1083">
            <v>0</v>
          </cell>
          <cell r="AA1083">
            <v>0</v>
          </cell>
          <cell r="BD1083">
            <v>0</v>
          </cell>
        </row>
        <row r="1084">
          <cell r="W1084">
            <v>0</v>
          </cell>
          <cell r="X1084">
            <v>0</v>
          </cell>
          <cell r="Y1084">
            <v>0</v>
          </cell>
          <cell r="Z1084">
            <v>0</v>
          </cell>
          <cell r="AA1084">
            <v>0</v>
          </cell>
          <cell r="BD1084">
            <v>0</v>
          </cell>
        </row>
        <row r="1085">
          <cell r="W1085">
            <v>0</v>
          </cell>
          <cell r="X1085">
            <v>0</v>
          </cell>
          <cell r="Y1085">
            <v>0</v>
          </cell>
          <cell r="Z1085">
            <v>0</v>
          </cell>
          <cell r="AA1085">
            <v>0</v>
          </cell>
          <cell r="BD1085">
            <v>0</v>
          </cell>
        </row>
        <row r="1086">
          <cell r="W1086">
            <v>0</v>
          </cell>
          <cell r="X1086">
            <v>0</v>
          </cell>
          <cell r="Y1086">
            <v>0</v>
          </cell>
          <cell r="Z1086">
            <v>0</v>
          </cell>
          <cell r="AA1086">
            <v>0</v>
          </cell>
          <cell r="BD1086">
            <v>0</v>
          </cell>
        </row>
        <row r="1087">
          <cell r="W1087">
            <v>0</v>
          </cell>
          <cell r="X1087">
            <v>0</v>
          </cell>
          <cell r="Y1087">
            <v>0</v>
          </cell>
          <cell r="Z1087">
            <v>0</v>
          </cell>
          <cell r="AA1087">
            <v>0</v>
          </cell>
          <cell r="BD1087">
            <v>0</v>
          </cell>
        </row>
        <row r="1088">
          <cell r="W1088">
            <v>0</v>
          </cell>
          <cell r="X1088">
            <v>0</v>
          </cell>
          <cell r="Y1088">
            <v>0</v>
          </cell>
          <cell r="Z1088">
            <v>0</v>
          </cell>
          <cell r="AA1088">
            <v>0</v>
          </cell>
          <cell r="BD1088">
            <v>0</v>
          </cell>
        </row>
        <row r="1089">
          <cell r="W1089">
            <v>0</v>
          </cell>
          <cell r="X1089">
            <v>0</v>
          </cell>
          <cell r="Y1089">
            <v>0</v>
          </cell>
          <cell r="Z1089">
            <v>0</v>
          </cell>
          <cell r="AA1089">
            <v>0</v>
          </cell>
          <cell r="BD1089">
            <v>0</v>
          </cell>
        </row>
        <row r="1090">
          <cell r="W1090">
            <v>0</v>
          </cell>
          <cell r="X1090">
            <v>0</v>
          </cell>
          <cell r="Y1090">
            <v>0</v>
          </cell>
          <cell r="Z1090">
            <v>0</v>
          </cell>
          <cell r="AA1090">
            <v>0</v>
          </cell>
          <cell r="BD1090">
            <v>0</v>
          </cell>
        </row>
        <row r="1091">
          <cell r="W1091">
            <v>0</v>
          </cell>
          <cell r="X1091">
            <v>0</v>
          </cell>
          <cell r="Y1091">
            <v>0</v>
          </cell>
          <cell r="Z1091">
            <v>0</v>
          </cell>
          <cell r="AA1091">
            <v>0</v>
          </cell>
          <cell r="BD1091">
            <v>0</v>
          </cell>
        </row>
        <row r="1092">
          <cell r="W1092">
            <v>0</v>
          </cell>
          <cell r="X1092">
            <v>0</v>
          </cell>
          <cell r="Y1092">
            <v>0</v>
          </cell>
          <cell r="Z1092">
            <v>0</v>
          </cell>
          <cell r="AA1092">
            <v>0</v>
          </cell>
          <cell r="BD1092">
            <v>0</v>
          </cell>
        </row>
        <row r="1093">
          <cell r="W1093">
            <v>0</v>
          </cell>
          <cell r="X1093">
            <v>0</v>
          </cell>
          <cell r="Y1093">
            <v>0</v>
          </cell>
          <cell r="Z1093">
            <v>0</v>
          </cell>
          <cell r="AA1093">
            <v>0</v>
          </cell>
          <cell r="BD1093">
            <v>0</v>
          </cell>
        </row>
        <row r="1094">
          <cell r="W1094">
            <v>0</v>
          </cell>
          <cell r="X1094">
            <v>0</v>
          </cell>
          <cell r="Y1094">
            <v>0</v>
          </cell>
          <cell r="Z1094">
            <v>0</v>
          </cell>
          <cell r="AA1094">
            <v>0</v>
          </cell>
          <cell r="BD1094">
            <v>0</v>
          </cell>
        </row>
        <row r="1095">
          <cell r="W1095">
            <v>0</v>
          </cell>
          <cell r="X1095">
            <v>0</v>
          </cell>
          <cell r="Y1095">
            <v>0</v>
          </cell>
          <cell r="Z1095">
            <v>0</v>
          </cell>
          <cell r="AA1095">
            <v>0</v>
          </cell>
          <cell r="BD1095">
            <v>0</v>
          </cell>
        </row>
        <row r="1096">
          <cell r="W1096">
            <v>0</v>
          </cell>
          <cell r="X1096">
            <v>0</v>
          </cell>
          <cell r="Y1096">
            <v>0</v>
          </cell>
          <cell r="Z1096">
            <v>0</v>
          </cell>
          <cell r="AA1096">
            <v>0</v>
          </cell>
          <cell r="BD1096">
            <v>0</v>
          </cell>
        </row>
        <row r="1097">
          <cell r="W1097">
            <v>0</v>
          </cell>
          <cell r="X1097">
            <v>0</v>
          </cell>
          <cell r="Y1097">
            <v>0</v>
          </cell>
          <cell r="Z1097">
            <v>0</v>
          </cell>
          <cell r="AA1097">
            <v>0</v>
          </cell>
          <cell r="BD1097">
            <v>0</v>
          </cell>
        </row>
        <row r="1098">
          <cell r="W1098">
            <v>0</v>
          </cell>
          <cell r="X1098">
            <v>0</v>
          </cell>
          <cell r="Y1098">
            <v>0</v>
          </cell>
          <cell r="Z1098">
            <v>0</v>
          </cell>
          <cell r="AA1098">
            <v>0</v>
          </cell>
          <cell r="BD1098">
            <v>0</v>
          </cell>
        </row>
        <row r="1099">
          <cell r="W1099">
            <v>0</v>
          </cell>
          <cell r="X1099">
            <v>0</v>
          </cell>
          <cell r="Y1099">
            <v>0</v>
          </cell>
          <cell r="Z1099">
            <v>0</v>
          </cell>
          <cell r="AA1099">
            <v>0</v>
          </cell>
          <cell r="BD1099">
            <v>0</v>
          </cell>
        </row>
        <row r="1100">
          <cell r="W1100">
            <v>0</v>
          </cell>
          <cell r="X1100">
            <v>0</v>
          </cell>
          <cell r="Y1100">
            <v>0</v>
          </cell>
          <cell r="Z1100">
            <v>0</v>
          </cell>
          <cell r="AA1100">
            <v>0</v>
          </cell>
          <cell r="BD1100">
            <v>0</v>
          </cell>
        </row>
        <row r="1101">
          <cell r="W1101">
            <v>0</v>
          </cell>
          <cell r="X1101">
            <v>0</v>
          </cell>
          <cell r="Y1101">
            <v>0</v>
          </cell>
          <cell r="Z1101">
            <v>0</v>
          </cell>
          <cell r="AA1101">
            <v>0</v>
          </cell>
          <cell r="BD1101">
            <v>0</v>
          </cell>
        </row>
        <row r="1102">
          <cell r="W1102">
            <v>0</v>
          </cell>
          <cell r="X1102">
            <v>0</v>
          </cell>
          <cell r="Y1102">
            <v>0</v>
          </cell>
          <cell r="Z1102">
            <v>0</v>
          </cell>
          <cell r="AA1102">
            <v>0</v>
          </cell>
          <cell r="BD1102">
            <v>0</v>
          </cell>
        </row>
        <row r="1103">
          <cell r="W1103">
            <v>0</v>
          </cell>
          <cell r="X1103">
            <v>0</v>
          </cell>
          <cell r="Y1103">
            <v>0</v>
          </cell>
          <cell r="Z1103">
            <v>0</v>
          </cell>
          <cell r="AA1103">
            <v>0</v>
          </cell>
          <cell r="BD1103">
            <v>0</v>
          </cell>
        </row>
        <row r="1104">
          <cell r="W1104">
            <v>0</v>
          </cell>
          <cell r="X1104">
            <v>0</v>
          </cell>
          <cell r="Y1104">
            <v>0</v>
          </cell>
          <cell r="Z1104">
            <v>0</v>
          </cell>
          <cell r="AA1104">
            <v>0</v>
          </cell>
          <cell r="BD1104">
            <v>0</v>
          </cell>
        </row>
        <row r="1105">
          <cell r="W1105">
            <v>0</v>
          </cell>
          <cell r="X1105">
            <v>0</v>
          </cell>
          <cell r="Y1105">
            <v>0</v>
          </cell>
          <cell r="Z1105">
            <v>0</v>
          </cell>
          <cell r="AA1105">
            <v>0</v>
          </cell>
          <cell r="BD1105">
            <v>0</v>
          </cell>
        </row>
        <row r="1106">
          <cell r="W1106">
            <v>0</v>
          </cell>
          <cell r="X1106">
            <v>0</v>
          </cell>
          <cell r="Y1106">
            <v>0</v>
          </cell>
          <cell r="Z1106">
            <v>0</v>
          </cell>
          <cell r="AA1106">
            <v>0</v>
          </cell>
          <cell r="BD1106">
            <v>0</v>
          </cell>
        </row>
        <row r="1107">
          <cell r="W1107">
            <v>0</v>
          </cell>
          <cell r="X1107">
            <v>0</v>
          </cell>
          <cell r="Y1107">
            <v>0</v>
          </cell>
          <cell r="Z1107">
            <v>0</v>
          </cell>
          <cell r="AA1107">
            <v>0</v>
          </cell>
          <cell r="BD1107">
            <v>0</v>
          </cell>
        </row>
        <row r="1108">
          <cell r="W1108">
            <v>0</v>
          </cell>
          <cell r="X1108">
            <v>0</v>
          </cell>
          <cell r="Y1108">
            <v>0</v>
          </cell>
          <cell r="Z1108">
            <v>0</v>
          </cell>
          <cell r="AA1108">
            <v>0</v>
          </cell>
          <cell r="BD1108">
            <v>0</v>
          </cell>
        </row>
        <row r="1109">
          <cell r="W1109">
            <v>0</v>
          </cell>
          <cell r="X1109">
            <v>0</v>
          </cell>
          <cell r="Y1109">
            <v>0</v>
          </cell>
          <cell r="Z1109">
            <v>0</v>
          </cell>
          <cell r="AA1109">
            <v>0</v>
          </cell>
          <cell r="BD1109">
            <v>0</v>
          </cell>
        </row>
        <row r="1110">
          <cell r="W1110">
            <v>0</v>
          </cell>
          <cell r="X1110">
            <v>0</v>
          </cell>
          <cell r="Y1110">
            <v>0</v>
          </cell>
          <cell r="Z1110">
            <v>0</v>
          </cell>
          <cell r="AA1110">
            <v>0</v>
          </cell>
          <cell r="BD1110">
            <v>0</v>
          </cell>
        </row>
        <row r="1111">
          <cell r="W1111">
            <v>0</v>
          </cell>
          <cell r="X1111">
            <v>0</v>
          </cell>
          <cell r="Y1111">
            <v>0</v>
          </cell>
          <cell r="Z1111">
            <v>0</v>
          </cell>
          <cell r="AA1111">
            <v>0</v>
          </cell>
          <cell r="BD1111">
            <v>0</v>
          </cell>
        </row>
        <row r="1112">
          <cell r="W1112">
            <v>0</v>
          </cell>
          <cell r="X1112">
            <v>0</v>
          </cell>
          <cell r="Y1112">
            <v>0</v>
          </cell>
          <cell r="Z1112">
            <v>0</v>
          </cell>
          <cell r="AA1112">
            <v>0</v>
          </cell>
          <cell r="BD1112">
            <v>0</v>
          </cell>
        </row>
        <row r="1113">
          <cell r="W1113">
            <v>0</v>
          </cell>
          <cell r="X1113">
            <v>0</v>
          </cell>
          <cell r="Y1113">
            <v>0</v>
          </cell>
          <cell r="Z1113">
            <v>0</v>
          </cell>
          <cell r="AA1113">
            <v>0</v>
          </cell>
          <cell r="BD1113">
            <v>0</v>
          </cell>
        </row>
        <row r="1114">
          <cell r="W1114">
            <v>0</v>
          </cell>
          <cell r="X1114">
            <v>0</v>
          </cell>
          <cell r="Y1114">
            <v>0</v>
          </cell>
          <cell r="Z1114">
            <v>0</v>
          </cell>
          <cell r="AA1114">
            <v>0</v>
          </cell>
          <cell r="BD1114">
            <v>0</v>
          </cell>
        </row>
        <row r="1115">
          <cell r="W1115">
            <v>0</v>
          </cell>
          <cell r="X1115">
            <v>0</v>
          </cell>
          <cell r="Y1115">
            <v>0</v>
          </cell>
          <cell r="Z1115">
            <v>0</v>
          </cell>
          <cell r="AA1115">
            <v>0</v>
          </cell>
          <cell r="BD1115">
            <v>0</v>
          </cell>
        </row>
        <row r="1116">
          <cell r="W1116">
            <v>0</v>
          </cell>
          <cell r="X1116">
            <v>0</v>
          </cell>
          <cell r="Y1116">
            <v>0</v>
          </cell>
          <cell r="Z1116">
            <v>0</v>
          </cell>
          <cell r="AA1116">
            <v>0</v>
          </cell>
          <cell r="BD1116">
            <v>0</v>
          </cell>
        </row>
        <row r="1117">
          <cell r="W1117">
            <v>0</v>
          </cell>
          <cell r="X1117">
            <v>0</v>
          </cell>
          <cell r="Y1117">
            <v>0</v>
          </cell>
          <cell r="Z1117">
            <v>0</v>
          </cell>
          <cell r="AA1117">
            <v>0</v>
          </cell>
          <cell r="BD1117">
            <v>0</v>
          </cell>
        </row>
        <row r="1118">
          <cell r="W1118">
            <v>0</v>
          </cell>
          <cell r="X1118">
            <v>0</v>
          </cell>
          <cell r="Y1118">
            <v>0</v>
          </cell>
          <cell r="Z1118">
            <v>0</v>
          </cell>
          <cell r="AA1118">
            <v>0</v>
          </cell>
          <cell r="BD1118">
            <v>0</v>
          </cell>
        </row>
        <row r="1119">
          <cell r="W1119">
            <v>0</v>
          </cell>
          <cell r="X1119">
            <v>0</v>
          </cell>
          <cell r="Y1119">
            <v>0</v>
          </cell>
          <cell r="Z1119">
            <v>0</v>
          </cell>
          <cell r="AA1119">
            <v>0</v>
          </cell>
          <cell r="BD1119">
            <v>0</v>
          </cell>
        </row>
        <row r="1120">
          <cell r="W1120">
            <v>0</v>
          </cell>
          <cell r="X1120">
            <v>0</v>
          </cell>
          <cell r="Y1120">
            <v>0</v>
          </cell>
          <cell r="Z1120">
            <v>0</v>
          </cell>
          <cell r="AA1120">
            <v>0</v>
          </cell>
          <cell r="BD1120">
            <v>0</v>
          </cell>
        </row>
        <row r="1121">
          <cell r="W1121">
            <v>0</v>
          </cell>
          <cell r="X1121">
            <v>0</v>
          </cell>
          <cell r="Y1121">
            <v>0</v>
          </cell>
          <cell r="Z1121">
            <v>0</v>
          </cell>
          <cell r="AA1121">
            <v>0</v>
          </cell>
          <cell r="BD1121">
            <v>0</v>
          </cell>
        </row>
        <row r="1122">
          <cell r="W1122">
            <v>0</v>
          </cell>
          <cell r="X1122">
            <v>0</v>
          </cell>
          <cell r="Y1122">
            <v>0</v>
          </cell>
          <cell r="Z1122">
            <v>0</v>
          </cell>
          <cell r="AA1122">
            <v>0</v>
          </cell>
          <cell r="BD1122">
            <v>0</v>
          </cell>
        </row>
        <row r="1123">
          <cell r="W1123">
            <v>0</v>
          </cell>
          <cell r="X1123">
            <v>0</v>
          </cell>
          <cell r="Y1123">
            <v>0</v>
          </cell>
          <cell r="Z1123">
            <v>0</v>
          </cell>
          <cell r="AA1123">
            <v>0</v>
          </cell>
          <cell r="BD1123">
            <v>0</v>
          </cell>
        </row>
        <row r="1124">
          <cell r="W1124">
            <v>0</v>
          </cell>
          <cell r="X1124">
            <v>0</v>
          </cell>
          <cell r="Y1124">
            <v>0</v>
          </cell>
          <cell r="Z1124">
            <v>0</v>
          </cell>
          <cell r="AA1124">
            <v>0</v>
          </cell>
          <cell r="BD1124">
            <v>0</v>
          </cell>
        </row>
        <row r="1125">
          <cell r="W1125">
            <v>0</v>
          </cell>
          <cell r="X1125">
            <v>0</v>
          </cell>
          <cell r="Y1125">
            <v>0</v>
          </cell>
          <cell r="Z1125">
            <v>0</v>
          </cell>
          <cell r="AA1125">
            <v>0</v>
          </cell>
          <cell r="BD1125">
            <v>0</v>
          </cell>
        </row>
        <row r="1126">
          <cell r="W1126">
            <v>0</v>
          </cell>
          <cell r="X1126">
            <v>0</v>
          </cell>
          <cell r="Y1126">
            <v>0</v>
          </cell>
          <cell r="Z1126">
            <v>0</v>
          </cell>
          <cell r="AA1126">
            <v>0</v>
          </cell>
          <cell r="BD1126">
            <v>0</v>
          </cell>
        </row>
        <row r="1127">
          <cell r="W1127">
            <v>0</v>
          </cell>
          <cell r="X1127">
            <v>0</v>
          </cell>
          <cell r="Y1127">
            <v>0</v>
          </cell>
          <cell r="Z1127">
            <v>0</v>
          </cell>
          <cell r="AA1127">
            <v>0</v>
          </cell>
          <cell r="BD1127">
            <v>0</v>
          </cell>
        </row>
        <row r="1128">
          <cell r="W1128">
            <v>0</v>
          </cell>
          <cell r="X1128">
            <v>0</v>
          </cell>
          <cell r="Y1128">
            <v>0</v>
          </cell>
          <cell r="Z1128">
            <v>0</v>
          </cell>
          <cell r="AA1128">
            <v>0</v>
          </cell>
          <cell r="BD1128">
            <v>0</v>
          </cell>
        </row>
        <row r="1129">
          <cell r="W1129">
            <v>0</v>
          </cell>
          <cell r="X1129">
            <v>0</v>
          </cell>
          <cell r="Y1129">
            <v>0</v>
          </cell>
          <cell r="Z1129">
            <v>0</v>
          </cell>
          <cell r="AA1129">
            <v>0</v>
          </cell>
          <cell r="BD1129">
            <v>0</v>
          </cell>
        </row>
        <row r="1130">
          <cell r="W1130">
            <v>0</v>
          </cell>
          <cell r="X1130">
            <v>0</v>
          </cell>
          <cell r="Y1130">
            <v>0</v>
          </cell>
          <cell r="Z1130">
            <v>0</v>
          </cell>
          <cell r="AA1130">
            <v>0</v>
          </cell>
          <cell r="BD1130">
            <v>0</v>
          </cell>
        </row>
        <row r="1131">
          <cell r="W1131">
            <v>0</v>
          </cell>
          <cell r="X1131">
            <v>0</v>
          </cell>
          <cell r="Y1131">
            <v>0</v>
          </cell>
          <cell r="Z1131">
            <v>0</v>
          </cell>
          <cell r="AA1131">
            <v>0</v>
          </cell>
          <cell r="BD1131">
            <v>0</v>
          </cell>
        </row>
        <row r="1132">
          <cell r="W1132">
            <v>0</v>
          </cell>
          <cell r="X1132">
            <v>0</v>
          </cell>
          <cell r="Y1132">
            <v>0</v>
          </cell>
          <cell r="Z1132">
            <v>0</v>
          </cell>
          <cell r="AA1132">
            <v>0</v>
          </cell>
          <cell r="BD1132">
            <v>0</v>
          </cell>
        </row>
        <row r="1133">
          <cell r="W1133">
            <v>0</v>
          </cell>
          <cell r="X1133">
            <v>0</v>
          </cell>
          <cell r="Y1133">
            <v>0</v>
          </cell>
          <cell r="Z1133">
            <v>0</v>
          </cell>
          <cell r="AA1133">
            <v>0</v>
          </cell>
          <cell r="BD1133">
            <v>0</v>
          </cell>
        </row>
        <row r="1134">
          <cell r="W1134">
            <v>0</v>
          </cell>
          <cell r="X1134">
            <v>0</v>
          </cell>
          <cell r="Y1134">
            <v>0</v>
          </cell>
          <cell r="Z1134">
            <v>0</v>
          </cell>
          <cell r="AA1134">
            <v>0</v>
          </cell>
          <cell r="BD1134">
            <v>0</v>
          </cell>
        </row>
        <row r="1135">
          <cell r="W1135">
            <v>0</v>
          </cell>
          <cell r="X1135">
            <v>0</v>
          </cell>
          <cell r="Y1135">
            <v>0</v>
          </cell>
          <cell r="Z1135">
            <v>0</v>
          </cell>
          <cell r="AA1135">
            <v>0</v>
          </cell>
          <cell r="BD1135">
            <v>0</v>
          </cell>
        </row>
        <row r="1136">
          <cell r="W1136">
            <v>0</v>
          </cell>
          <cell r="X1136">
            <v>0</v>
          </cell>
          <cell r="Y1136">
            <v>0</v>
          </cell>
          <cell r="Z1136">
            <v>0</v>
          </cell>
          <cell r="AA1136">
            <v>0</v>
          </cell>
          <cell r="BD1136">
            <v>0</v>
          </cell>
        </row>
        <row r="1137">
          <cell r="W1137">
            <v>0</v>
          </cell>
          <cell r="X1137">
            <v>0</v>
          </cell>
          <cell r="Y1137">
            <v>0</v>
          </cell>
          <cell r="Z1137">
            <v>0</v>
          </cell>
          <cell r="AA1137">
            <v>0</v>
          </cell>
          <cell r="BD1137">
            <v>0</v>
          </cell>
        </row>
        <row r="1138">
          <cell r="W1138">
            <v>0</v>
          </cell>
          <cell r="X1138">
            <v>0</v>
          </cell>
          <cell r="Y1138">
            <v>0</v>
          </cell>
          <cell r="Z1138">
            <v>0</v>
          </cell>
          <cell r="AA1138">
            <v>0</v>
          </cell>
          <cell r="BD1138">
            <v>0</v>
          </cell>
        </row>
        <row r="1139">
          <cell r="W1139">
            <v>0</v>
          </cell>
          <cell r="X1139">
            <v>0</v>
          </cell>
          <cell r="Y1139">
            <v>0</v>
          </cell>
          <cell r="Z1139">
            <v>0</v>
          </cell>
          <cell r="AA1139">
            <v>0</v>
          </cell>
          <cell r="BD1139">
            <v>0</v>
          </cell>
        </row>
        <row r="1140">
          <cell r="W1140">
            <v>0</v>
          </cell>
          <cell r="X1140">
            <v>0</v>
          </cell>
          <cell r="Y1140">
            <v>0</v>
          </cell>
          <cell r="Z1140">
            <v>0</v>
          </cell>
          <cell r="AA1140">
            <v>0</v>
          </cell>
          <cell r="BD1140">
            <v>0</v>
          </cell>
        </row>
        <row r="1141">
          <cell r="W1141">
            <v>0</v>
          </cell>
          <cell r="X1141">
            <v>0</v>
          </cell>
          <cell r="Y1141">
            <v>0</v>
          </cell>
          <cell r="Z1141">
            <v>0</v>
          </cell>
          <cell r="AA1141">
            <v>0</v>
          </cell>
          <cell r="BD1141">
            <v>0</v>
          </cell>
        </row>
        <row r="1142">
          <cell r="W1142">
            <v>0</v>
          </cell>
          <cell r="X1142">
            <v>0</v>
          </cell>
          <cell r="Y1142">
            <v>0</v>
          </cell>
          <cell r="Z1142">
            <v>0</v>
          </cell>
          <cell r="AA1142">
            <v>0</v>
          </cell>
          <cell r="BD1142">
            <v>0</v>
          </cell>
        </row>
        <row r="1143">
          <cell r="W1143">
            <v>0</v>
          </cell>
          <cell r="X1143">
            <v>0</v>
          </cell>
          <cell r="Y1143">
            <v>0</v>
          </cell>
          <cell r="Z1143">
            <v>0</v>
          </cell>
          <cell r="AA1143">
            <v>0</v>
          </cell>
          <cell r="BD1143">
            <v>0</v>
          </cell>
        </row>
        <row r="1144">
          <cell r="W1144">
            <v>0</v>
          </cell>
          <cell r="X1144">
            <v>0</v>
          </cell>
          <cell r="Y1144">
            <v>0</v>
          </cell>
          <cell r="Z1144">
            <v>0</v>
          </cell>
          <cell r="AA1144">
            <v>0</v>
          </cell>
          <cell r="BD1144">
            <v>0</v>
          </cell>
        </row>
        <row r="1145">
          <cell r="W1145">
            <v>0</v>
          </cell>
          <cell r="X1145">
            <v>0</v>
          </cell>
          <cell r="Y1145">
            <v>0</v>
          </cell>
          <cell r="Z1145">
            <v>0</v>
          </cell>
          <cell r="AA1145">
            <v>0</v>
          </cell>
          <cell r="BD1145">
            <v>0</v>
          </cell>
        </row>
        <row r="1146">
          <cell r="W1146">
            <v>0</v>
          </cell>
          <cell r="X1146">
            <v>0</v>
          </cell>
          <cell r="Y1146">
            <v>0</v>
          </cell>
          <cell r="Z1146">
            <v>0</v>
          </cell>
          <cell r="AA1146">
            <v>0</v>
          </cell>
          <cell r="BD1146">
            <v>0</v>
          </cell>
        </row>
        <row r="1147">
          <cell r="W1147">
            <v>0</v>
          </cell>
          <cell r="X1147">
            <v>0</v>
          </cell>
          <cell r="Y1147">
            <v>0</v>
          </cell>
          <cell r="Z1147">
            <v>0</v>
          </cell>
          <cell r="AA1147">
            <v>0</v>
          </cell>
          <cell r="BD1147">
            <v>0</v>
          </cell>
        </row>
        <row r="1148">
          <cell r="W1148">
            <v>0</v>
          </cell>
          <cell r="X1148">
            <v>0</v>
          </cell>
          <cell r="Y1148">
            <v>0</v>
          </cell>
          <cell r="Z1148">
            <v>0</v>
          </cell>
          <cell r="AA1148">
            <v>0</v>
          </cell>
          <cell r="BD1148">
            <v>0</v>
          </cell>
        </row>
        <row r="1149">
          <cell r="W1149">
            <v>0</v>
          </cell>
          <cell r="X1149">
            <v>0</v>
          </cell>
          <cell r="Y1149">
            <v>0</v>
          </cell>
          <cell r="Z1149">
            <v>0</v>
          </cell>
          <cell r="AA1149">
            <v>0</v>
          </cell>
          <cell r="BD1149">
            <v>0</v>
          </cell>
        </row>
        <row r="1150">
          <cell r="W1150">
            <v>0</v>
          </cell>
          <cell r="X1150">
            <v>0</v>
          </cell>
          <cell r="Y1150">
            <v>0</v>
          </cell>
          <cell r="Z1150">
            <v>0</v>
          </cell>
          <cell r="AA1150">
            <v>0</v>
          </cell>
          <cell r="BD1150">
            <v>0</v>
          </cell>
        </row>
        <row r="1151">
          <cell r="W1151">
            <v>0</v>
          </cell>
          <cell r="X1151">
            <v>0</v>
          </cell>
          <cell r="Y1151">
            <v>0</v>
          </cell>
          <cell r="Z1151">
            <v>0</v>
          </cell>
          <cell r="AA1151">
            <v>0</v>
          </cell>
          <cell r="BD1151">
            <v>0</v>
          </cell>
        </row>
        <row r="1152">
          <cell r="W1152">
            <v>0</v>
          </cell>
          <cell r="X1152">
            <v>0</v>
          </cell>
          <cell r="Y1152">
            <v>0</v>
          </cell>
          <cell r="Z1152">
            <v>0</v>
          </cell>
          <cell r="AA1152">
            <v>0</v>
          </cell>
          <cell r="BD1152">
            <v>0</v>
          </cell>
        </row>
        <row r="1153">
          <cell r="W1153">
            <v>0</v>
          </cell>
          <cell r="X1153">
            <v>0</v>
          </cell>
          <cell r="Y1153">
            <v>0</v>
          </cell>
          <cell r="Z1153">
            <v>0</v>
          </cell>
          <cell r="AA1153">
            <v>0</v>
          </cell>
          <cell r="BC1153">
            <v>0</v>
          </cell>
          <cell r="BD1153">
            <v>0</v>
          </cell>
        </row>
        <row r="1154">
          <cell r="W1154">
            <v>0</v>
          </cell>
          <cell r="X1154">
            <v>0</v>
          </cell>
          <cell r="Y1154">
            <v>0</v>
          </cell>
          <cell r="Z1154">
            <v>0</v>
          </cell>
          <cell r="AA1154">
            <v>0</v>
          </cell>
          <cell r="BC1154">
            <v>0</v>
          </cell>
          <cell r="BD1154">
            <v>0</v>
          </cell>
          <cell r="BG1154">
            <v>0</v>
          </cell>
        </row>
      </sheetData>
      <sheetData sheetId="64"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_R$"/>
      <sheetName val="Report_US$"/>
      <sheetName val="GRAPHS"/>
      <sheetName val="Prem-IS"/>
      <sheetName val="Prem-BS"/>
      <sheetName val="Anual_R$"/>
      <sheetName val="Anual_US$"/>
      <sheetName val="multiples"/>
      <sheetName val="WACC"/>
      <sheetName val="dados"/>
      <sheetName val="Celular"/>
      <sheetName val="tabela1"/>
      <sheetName val="tabela2"/>
      <sheetName val="tabela3"/>
      <sheetName val="tabela4"/>
      <sheetName val="market"/>
      <sheetName val="results"/>
      <sheetName val="CPU"/>
      <sheetName val="GerRel"/>
      <sheetName val="Composições"/>
      <sheetName val="Insumos"/>
      <sheetName val="Serviços"/>
      <sheetName val="Configuration"/>
      <sheetName val="Funding"/>
      <sheetName val="Macroeconomics"/>
      <sheetName val="BUDGET"/>
      <sheetName val="DO NOT USE PRINT! Macro Data"/>
      <sheetName val="Sheet1"/>
      <sheetName val="Control"/>
      <sheetName val="Profit &amp; Loss"/>
      <sheetName val="Project Enigma Valuation V01  "/>
      <sheetName val="gráfico"/>
      <sheetName val="BRP_1Q01"/>
      <sheetName val="RBE ACT mi"/>
      <sheetName val="Economias SANSYS"/>
      <sheetName val="9.1 - GERAL - Comex"/>
      <sheetName val="Painel de Controle"/>
      <sheetName val="MOB-2.11"/>
      <sheetName val="Fec-2.12"/>
      <sheetName val="PLQ - Recuperação Base de Quant"/>
      <sheetName val="Métricas"/>
      <sheetName val="Recape Drenos"/>
      <sheetName val="BASE DE DADOS 1"/>
      <sheetName val="CBUQ MÊS"/>
      <sheetName val="estgg"/>
      <sheetName val="Constants"/>
      <sheetName val="POP cost"/>
      <sheetName val="Brazil Sovereign"/>
      <sheetName val="validaciones"/>
      <sheetName val="fluxo de caixa"/>
      <sheetName val="Ptax"/>
      <sheetName val="Apoio"/>
      <sheetName val="SUMMAR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12">
          <cell r="E12" t="str">
            <v>a=blpH(E10,"EQY_WEIGHTED_AVG_PX,PX_LAST,PX_VOLUME","1/1/1998"," ",0,TRUE,"D","C","C",TRUE,1296,4)</v>
          </cell>
          <cell r="J12" t="str">
            <v>a=blpH(J10,"EQY_WEIGHTED_AVG_PX,PX_LAST,PX_VOLUME","1/1/1998"," ",0,TRUE,"D","C","C",TRUE,1296,4)</v>
          </cell>
          <cell r="O12" t="str">
            <v>a=blpH(O10,"EQY_WEIGHTED_AVG_PX,PX_LAST,PX_VOLUME","1/1/1998"," ",0,TRUE,"D","C","C",TRUE,1296,4)</v>
          </cell>
          <cell r="T12" t="str">
            <v>a=blpH(T10,"EQY_WEIGHTED_AVG_PX,PX_LAST,PX_VOLUME","1/1/1998"," ",0,TRUE,"D","C","C",TRUE,1296,4)</v>
          </cell>
          <cell r="Y12" t="str">
            <v>a=blpH(Y10,"EQY_WEIGHTED_AVG_PX,PX_LAST,PX_VOLUME","1/1/1998"," ",0,TRUE,"D","C","C",TRUE,1296,4)</v>
          </cell>
          <cell r="AD12" t="str">
            <v>a=blpH(AD10,"EQY_WEIGHTED_AVG_PX,PX_LAST,PX_VOLUME","1/1/1998"," ",0,TRUE,"D","C","C",TRUE,1296,4)</v>
          </cell>
          <cell r="AI12" t="str">
            <v>a=blpH(AI10,"EQY_WEIGHTED_AVG_PX,PX_LAST,PX_VOLUME","1/1/1998"," ",0,TRUE,"D","C","C",TRUE,1296,4)</v>
          </cell>
        </row>
      </sheetData>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ow r="7">
          <cell r="E7">
            <v>0</v>
          </cell>
        </row>
      </sheetData>
      <sheetData sheetId="40"/>
      <sheetData sheetId="41"/>
      <sheetData sheetId="42"/>
      <sheetData sheetId="43"/>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ock Chart"/>
    </sheetNames>
    <sheetDataSet>
      <sheetData sheetId="0"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a"/>
      <sheetName val="PainelControle"/>
      <sheetName val="PreAtemporais"/>
      <sheetName val="Tarifas"/>
      <sheetName val="PreTemporais"/>
      <sheetName val="Análises"/>
      <sheetName val="PIB e Pop"/>
      <sheetName val="BD_links"/>
      <sheetName val="BD_Marginais"/>
      <sheetName val="Histórico Praças de Pedágio"/>
      <sheetName val="Volumes SAT"/>
      <sheetName val="Fator entre cenários-uni"/>
      <sheetName val="Cen_Oferta_Ano 00"/>
      <sheetName val="Cen_Oferta_Ano 02"/>
      <sheetName val="Ano 00_Base_M0_D0"/>
      <sheetName val="Ano 00_Base_M1_D0"/>
      <sheetName val="Ano 00_Base_M0_D1"/>
      <sheetName val="Ano 00_Base_M1_D1"/>
      <sheetName val="Ano 02_Base_M0_D0"/>
      <sheetName val="Ano 02_CCR_M0_D0"/>
      <sheetName val="Ano 02_Var1_M0_D0"/>
      <sheetName val="Ano 02_Base_M1_D0"/>
      <sheetName val="Ano 02_CCR_M1_D0"/>
      <sheetName val="Ano 02_Var1_M1_D0"/>
      <sheetName val="Ano 02_Base_M1_D1"/>
      <sheetName val="Ano 02_Var1_M1_D1"/>
      <sheetName val="log"/>
      <sheetName val="Automação"/>
      <sheetName val="Exporta-NS"/>
      <sheetName val="Exporta-Receita"/>
    </sheetNames>
    <sheetDataSet>
      <sheetData sheetId="0" refreshError="1"/>
      <sheetData sheetId="1" refreshError="1"/>
      <sheetData sheetId="2">
        <row r="11">
          <cell r="I11">
            <v>365</v>
          </cell>
        </row>
        <row r="13">
          <cell r="I13">
            <v>1000000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EX por Rodovia"/>
      <sheetName val="OPEX"/>
      <sheetName val="PER"/>
      <sheetName val="CAPEX CONSOLIDADO"/>
      <sheetName val="C-1964_Quadro PER Valores 01"/>
      <sheetName val="market"/>
    </sheetNames>
    <definedNames>
      <definedName name="Header1"/>
    </defined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ecasts_VDF"/>
      <sheetName val="COLT"/>
      <sheetName val="MODEL"/>
      <sheetName val="INTERIM"/>
      <sheetName val="GBD"/>
      <sheetName val="statistic"/>
      <sheetName val="HIST"/>
      <sheetName val="Composições"/>
      <sheetName val="Insumos"/>
      <sheetName val="Serviços"/>
      <sheetName val="market"/>
      <sheetName val="orçamento- adutora  sao jose"/>
      <sheetName val="RELATA"/>
      <sheetName val="CPUS CANTEIRO"/>
      <sheetName val="CPUS AUX CANT"/>
      <sheetName val="#REF"/>
    </sheetNames>
    <sheetDataSet>
      <sheetData sheetId="0" refreshError="1"/>
      <sheetData sheetId="1" refreshError="1"/>
      <sheetData sheetId="2"/>
      <sheetData sheetId="3"/>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a"/>
      <sheetName val="PainelControle"/>
      <sheetName val="Gráficos"/>
      <sheetName val="PreAtemporais"/>
      <sheetName val="PreTemporais"/>
      <sheetName val="CronFinanAtivos"/>
      <sheetName val="FluxoCaixa"/>
      <sheetName val="input.CAPEX"/>
      <sheetName val="input.operacional"/>
      <sheetName val="input.socioambiental"/>
      <sheetName val="input.TCP"/>
      <sheetName val="input.trafego"/>
      <sheetName val="trafego.interpol"/>
      <sheetName val="cen"/>
    </sheetNames>
    <sheetDataSet>
      <sheetData sheetId="0"/>
      <sheetData sheetId="1">
        <row r="14">
          <cell r="T14">
            <v>8.4699999999999998E-2</v>
          </cell>
        </row>
        <row r="68">
          <cell r="I68">
            <v>0.13628999999999999</v>
          </cell>
        </row>
        <row r="70">
          <cell r="I70">
            <v>3.7499999999999999E-2</v>
          </cell>
        </row>
        <row r="82">
          <cell r="R82">
            <v>0</v>
          </cell>
        </row>
        <row r="83">
          <cell r="R83">
            <v>0</v>
          </cell>
        </row>
      </sheetData>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C"/>
      <sheetName val="Input"/>
      <sheetName val="Inputs"/>
      <sheetName val="Assum"/>
      <sheetName val="Op-BS"/>
      <sheetName val="IS"/>
      <sheetName val="BSCF"/>
      <sheetName val="Ratios"/>
      <sheetName val="Sens"/>
      <sheetName val="Matrix"/>
      <sheetName val="Contrib"/>
      <sheetName val="AcqIS"/>
      <sheetName val="AcqBSCF"/>
      <sheetName val="AcqRat"/>
      <sheetName val="AcqDCF1"/>
      <sheetName val="AcqDCF2"/>
      <sheetName val="Wacc"/>
      <sheetName val="DCF-EBITDA"/>
      <sheetName val="Summary"/>
      <sheetName val="Macroeconomic"/>
      <sheetName val="Scenarios"/>
      <sheetName val="Projections"/>
      <sheetName val="Income Statement"/>
      <sheetName val="Balance Sheet - Cash Flow"/>
      <sheetName val="Module1"/>
      <sheetName val="Module2"/>
      <sheetName val="Module3"/>
      <sheetName val="Module4"/>
      <sheetName val="Receitas"/>
      <sheetName val="Turno"/>
      <sheetName val="Validação de Dados"/>
      <sheetName val=""/>
      <sheetName val="44"/>
      <sheetName val="48"/>
      <sheetName val="Income_Statement"/>
      <sheetName val="Balance_Sheet_-_Cash_Flow"/>
      <sheetName val="Plan2"/>
      <sheetName val="Lista"/>
      <sheetName val="Apoio"/>
      <sheetName val="2. Resumo de Elim."/>
      <sheetName val="Estrutura Função"/>
      <sheetName val="CONSSID12-96"/>
      <sheetName val="Planilha1"/>
      <sheetName val="Plan4"/>
      <sheetName val="PayTV"/>
      <sheetName val="Pres_Esc_Base_segmentos"/>
      <sheetName val="Evaluation - IPTV"/>
      <sheetName val="Evaluation_-_IPTV"/>
      <sheetName val="Códigos "/>
      <sheetName val="Graficos"/>
      <sheetName val="Status"/>
      <sheetName val="CADASTR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sheetData sheetId="35"/>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sheetData sheetId="48" refreshError="1"/>
      <sheetData sheetId="49" refreshError="1"/>
      <sheetData sheetId="50" refreshError="1"/>
      <sheetData sheetId="51"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eriais"/>
      <sheetName val="equipamento pai"/>
      <sheetName val="Equipamento filho 1"/>
      <sheetName val="Equipamento filho 2"/>
      <sheetName val="Análise Comparativa"/>
    </sheetNames>
    <sheetDataSet>
      <sheetData sheetId="0"/>
      <sheetData sheetId="1" refreshError="1"/>
      <sheetData sheetId="2"/>
      <sheetData sheetId="3"/>
      <sheetData sheetId="4"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uarterly_financials"/>
      <sheetName val="Summary_financials"/>
      <sheetName val="Despesas operacionais"/>
      <sheetName val="Anual_p"/>
      <sheetName val="Premissas"/>
      <sheetName val="Anual_p_US$"/>
      <sheetName val="Financiamentos"/>
      <sheetName val="TargetP"/>
      <sheetName val="Acionária"/>
      <sheetName val="Máscara 2"/>
      <sheetName val="Máscara 1"/>
      <sheetName val="Summary_Operations"/>
      <sheetName val="WACC"/>
      <sheetName val="Base"/>
      <sheetName val="Forecasts_VDF"/>
      <sheetName val="Data"/>
      <sheetName val="RELATA antigo"/>
      <sheetName val="market"/>
      <sheetName val="DADOS FORNECEDORES"/>
      <sheetName val=""/>
      <sheetName val="CONSSID12-96"/>
      <sheetName val="SUBCONTRATOS"/>
      <sheetName val="Base IBGE"/>
      <sheetName val="Ajuste da Curva POP."/>
      <sheetName val="Demanda Água"/>
      <sheetName val="Ligação de Água"/>
      <sheetName val="Demanda de Esgoto"/>
      <sheetName val="Ligação de Esgoto"/>
      <sheetName val="ELECTRICOS"/>
      <sheetName val="Indice Precos Mes"/>
      <sheetName val="2013"/>
      <sheetName val="1. Instellingen"/>
      <sheetName val="BACKUP PLAN ORÇAMENTO"/>
      <sheetName val="SispecPSAP"/>
      <sheetName val="Sispec99"/>
      <sheetName val="Tabelas"/>
      <sheetName val="DO NOT USE PRINT! Macro Data"/>
      <sheetName val="Sheet1"/>
      <sheetName val="Control"/>
      <sheetName val="Project Enigma Valuation V01  "/>
      <sheetName val="Entrada de Dados"/>
    </sheetNames>
    <sheetDataSet>
      <sheetData sheetId="0" refreshError="1"/>
      <sheetData sheetId="1" refreshError="1"/>
      <sheetData sheetId="2" refreshError="1"/>
      <sheetData sheetId="3" refreshError="1"/>
      <sheetData sheetId="4" refreshError="1">
        <row r="161">
          <cell r="Z161">
            <v>-1255.8879413952952</v>
          </cell>
        </row>
        <row r="166">
          <cell r="Z166">
            <v>-2.0120103106201701E-2</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JLP FINAL"/>
      <sheetName val="Mutação do PL Trimestral"/>
      <sheetName val="Premissas"/>
      <sheetName val="RELATA"/>
    </sheetNames>
    <sheetDataSet>
      <sheetData sheetId="0" refreshError="1"/>
      <sheetData sheetId="1" refreshError="1"/>
      <sheetData sheetId="2" refreshError="1"/>
      <sheetData sheetId="3"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tre"/>
      <sheetName val="Mutação do PL Trimestral"/>
      <sheetName val="Mutação PL - Dez a Set"/>
      <sheetName val="Reserva Reavaliação"/>
      <sheetName val="Mov. Res. Reavaliacao"/>
      <sheetName val="Lucros a Realizar"/>
      <sheetName val="XREF"/>
      <sheetName val="Tickmarks"/>
      <sheetName val="Forecasts_VDF"/>
      <sheetName val="Premissas"/>
      <sheetName val="Worksheet in 7140 Patrimônio Lí"/>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e"/>
      <sheetName val="Jurídico"/>
      <sheetName val="Assin Contratada"/>
      <sheetName val="Assin_Contratada"/>
      <sheetName val="Terr-preços"/>
      <sheetName val="Unit"/>
      <sheetName val="Local"/>
      <sheetName val="tabela DER julho97"/>
      <sheetName val="Plan3"/>
      <sheetName val="AVALIAÇÃO_terreno"/>
      <sheetName val="INCCTOT"/>
      <sheetName val="0040"/>
      <sheetName val="Assin_Contratada1"/>
      <sheetName val="tabela_DER_julho97"/>
      <sheetName val="Proctor BGS 2"/>
      <sheetName val="DADOS MENU"/>
      <sheetName val="Principal"/>
      <sheetName val="P   CARGOS SAL CARAJAS "/>
      <sheetName val="Proctor_BGS_2"/>
      <sheetName val="  Eco-marshall modelo "/>
      <sheetName val=" MODELO - Eco-marshall"/>
      <sheetName val=" MODELO- Eco-marshall"/>
      <sheetName val="modelo- 16-19mm - Eco-marshall"/>
      <sheetName val="modelo- Eco Marshall"/>
      <sheetName val="MATRIZ-ECO-MARSHALL"/>
      <sheetName val="Control"/>
      <sheetName val="scenario"/>
      <sheetName val="P___CARGOS_SAL_CARAJAS_"/>
      <sheetName val="Despesas"/>
      <sheetName val="Planilha1"/>
      <sheetName val="Rendimento Equipe"/>
      <sheetName val="Índice Chuva"/>
      <sheetName val="Banco de Dados - Placas"/>
      <sheetName val="RELATA VÉIO"/>
      <sheetName val="Check Farol"/>
      <sheetName val="Dados"/>
      <sheetName val="OP079907"/>
      <sheetName val="XREF"/>
      <sheetName val="Premissas"/>
      <sheetName val="Resumo Taquaruçu 05-19"/>
      <sheetName val="Controle de Contratos atualizad"/>
      <sheetName val="RELATA ANTIGO"/>
      <sheetName val="W_Z_Q0000_Z_RTIN_01_REC_0003"/>
      <sheetName val="PLQ - Recuperação Base de Quant"/>
      <sheetName val="Métricas"/>
      <sheetName val="Recape Drenos"/>
      <sheetName val="BASE DE DADOS 1"/>
      <sheetName val="CBUQ MÊS"/>
      <sheetName val="GERAL"/>
      <sheetName val="Resumo"/>
      <sheetName val="M.O. - 01"/>
      <sheetName val="Plan1"/>
      <sheetName val="Trans Assump"/>
      <sheetName val="elétrica"/>
      <sheetName val="Assin_Contratada2"/>
      <sheetName val="tabela_DER_julho971"/>
      <sheetName val="Proctor_BGS_21"/>
      <sheetName val="DADOS_MENU"/>
      <sheetName val="P___CARGOS_SAL_CARAJAS_1"/>
      <sheetName val="__Eco-marshall_modelo_"/>
      <sheetName val="_MODELO_-_Eco-marshall"/>
      <sheetName val="_MODELO-_Eco-marshall"/>
      <sheetName val="modelo-_16-19mm_-_Eco-marshall"/>
      <sheetName val="modelo-_Eco_Marshall"/>
      <sheetName val="Padrões Horizontal"/>
      <sheetName val="Assin_Contratada3"/>
      <sheetName val="tabela_DER_julho972"/>
      <sheetName val="Banco_de_Dados_-_Placas"/>
      <sheetName val="RELATA_VÉIO"/>
      <sheetName val="Check_Farol"/>
      <sheetName val="PLQ_-_Recuperação_Base_de_Quant"/>
      <sheetName val="Recape_Drenos"/>
      <sheetName val="BASE_DE_DADOS_1"/>
      <sheetName val="CBUQ_MÊS"/>
      <sheetName val="RELATA"/>
      <sheetName val="CONSSID12-96"/>
      <sheetName val="Evolução Realizado"/>
      <sheetName val="Cadastral Fonecedor"/>
      <sheetName val="ABC"/>
      <sheetName val="Contr_Global"/>
      <sheetName val="Índice"/>
      <sheetName val="Projecao"/>
      <sheetName val="Pavim-preços"/>
      <sheetName val="Preço dos Dispositivos"/>
      <sheetName val="resumo geral"/>
      <sheetName val="Banco de Dados - Segurança"/>
      <sheetName val="composições"/>
      <sheetName val="Anual"/>
      <sheetName val="A"/>
      <sheetName val="Parametros"/>
      <sheetName val="DNIT - Referencial"/>
      <sheetName val="BR 376 Km 181,85"/>
      <sheetName val="samarco"/>
      <sheetName val="estgg"/>
      <sheetName val="aux"/>
      <sheetName val="eaigesen"/>
      <sheetName val="1.6"/>
      <sheetName val="Compactação 100% PN"/>
      <sheetName val="Compactação 95% PN"/>
      <sheetName val="DMT"/>
      <sheetName val="mcbr"/>
      <sheetName val="#REF"/>
      <sheetName val="Rascunho"/>
      <sheetName val="dados blp"/>
      <sheetName val="Cash flow"/>
      <sheetName val="Stock Chart"/>
      <sheetName val="M.O."/>
      <sheetName val="A.2- RESUMO"/>
      <sheetName val="Forecasts_VDF"/>
      <sheetName val="market"/>
      <sheetName val="CNPJ"/>
      <sheetName val="WKcalculLocCur"/>
      <sheetName val="Resumo_Rec. Rede"/>
      <sheetName val="ANNEXES 3"/>
      <sheetName val="RATEIO CSC"/>
      <sheetName val="RATEIO CCO"/>
      <sheetName val="Resumo 9+3"/>
      <sheetName val="RF9+3"/>
      <sheetName val="Análises"/>
      <sheetName val="Racional"/>
      <sheetName val="1. Centro de Custo"/>
      <sheetName val="Glossário"/>
      <sheetName val="1. Headcount"/>
      <sheetName val="2. Atividades e Volumetria"/>
      <sheetName val="3. ABC de Atividades"/>
      <sheetName val="4.Questionário"/>
      <sheetName val="5. Estructura de Servicios"/>
      <sheetName val="Volumetria"/>
      <sheetName val="5. ABC FTE"/>
      <sheetName val="5. ABC R$"/>
      <sheetName val="AUXILIAR"/>
      <sheetName val="apoio"/>
      <sheetName val="Base HC"/>
      <sheetName val="Auxiliar C.C."/>
      <sheetName val="Proc"/>
      <sheetName val="Evolutivo"/>
      <sheetName val="Janeiro"/>
      <sheetName val="Fevereiro"/>
      <sheetName val="Março"/>
      <sheetName val="1ºTrimestre"/>
      <sheetName val="2020 Trend"/>
      <sheetName val="B2020 Consolidated"/>
      <sheetName val="2019 Consolidated"/>
      <sheetName val="Máscara - BP"/>
      <sheetName val="Máscara - LY"/>
      <sheetName val="Máscara - YTD"/>
      <sheetName val="Máscara - Q3"/>
      <sheetName val="Máscara - BP Q3"/>
      <sheetName val="Máscara - LY Q3"/>
      <sheetName val="BR 376 km 143,2"/>
      <sheetName val="Plan2"/>
      <sheetName val="Listas Suspensas"/>
      <sheetName val="BancoRef"/>
      <sheetName val="Preços_BSTC"/>
      <sheetName val="1A. Custo e Benefícios"/>
      <sheetName val="BANCO"/>
      <sheetName val="SZSlj31"/>
      <sheetName val="Orçamento"/>
      <sheetName val="planilha-alta"/>
      <sheetName val="Assin_Contratada4"/>
      <sheetName val="tabela_DER_julho973"/>
      <sheetName val="Proctor_BGS_22"/>
      <sheetName val="DADOS_MENU1"/>
      <sheetName val="P___CARGOS_SAL_CARAJAS_2"/>
      <sheetName val="__Eco-marshall_modelo_1"/>
      <sheetName val="_MODELO_-_Eco-marshall1"/>
      <sheetName val="_MODELO-_Eco-marshall1"/>
      <sheetName val="modelo-_16-19mm_-_Eco-marshall1"/>
      <sheetName val="modelo-_Eco_Marshall1"/>
      <sheetName val="Banco_de_Dados_-_Placas1"/>
      <sheetName val="RELATA_VÉIO1"/>
      <sheetName val="Check_Farol1"/>
      <sheetName val="Resumo_Taquaruçu_05-19"/>
      <sheetName val="Controle_de_Contratos_atualizad"/>
      <sheetName val="RELATA_ANTIGO"/>
      <sheetName val="PLQ_-_Recuperação_Base_de_Quan1"/>
      <sheetName val="Recape_Drenos1"/>
      <sheetName val="BASE_DE_DADOS_11"/>
      <sheetName val="CBUQ_MÊS1"/>
      <sheetName val="M_O__-_01"/>
      <sheetName val="M_O_"/>
      <sheetName val="A_2-_RESUMO"/>
      <sheetName val="Padrões_Horizontal"/>
      <sheetName val="Evolução_Realizado"/>
      <sheetName val="Cadastral_Fonecedor"/>
      <sheetName val="Preço_dos_Dispositivos"/>
      <sheetName val="resumo_geral"/>
      <sheetName val="Trans_Assump"/>
      <sheetName val="Rendimento_Equipe"/>
      <sheetName val="Índice_Chuva"/>
      <sheetName val="cost_input"/>
      <sheetName val="Fluxo de Caixa CF"/>
      <sheetName val="comb inp"/>
      <sheetName val="brazil sovereign"/>
      <sheetName val="Config"/>
      <sheetName val="BR_376_Km_181,85"/>
      <sheetName val="Banco_de_Dados_-_Segurança"/>
      <sheetName val="dados_blp"/>
      <sheetName val="Cash_flow"/>
      <sheetName val="1_6"/>
      <sheetName val="Compactação_100%_PN"/>
      <sheetName val="Compactação_95%_PN"/>
      <sheetName val="DNIT_-_Referencial"/>
      <sheetName val="RATEIO_CSC"/>
      <sheetName val="RATEIO_CCO"/>
      <sheetName val="Resumo_9+3"/>
      <sheetName val="1__Centro_de_Custo"/>
      <sheetName val="1__Headcount"/>
      <sheetName val="2__Atividades_e_Volumetria"/>
      <sheetName val="3__ABC_de_Atividades"/>
      <sheetName val="4_Questionário"/>
      <sheetName val="5__Estructura_de_Servicios"/>
      <sheetName val="5__ABC_FTE"/>
      <sheetName val="5__ABC_R$"/>
      <sheetName val="Base_HC"/>
      <sheetName val="Auxiliar_C_C_"/>
      <sheetName val="2020_Trend"/>
      <sheetName val="B2020_Consolidated"/>
      <sheetName val="2019_Consolidated"/>
      <sheetName val="Máscara_-_BP"/>
      <sheetName val="Máscara_-_LY"/>
      <sheetName val="Máscara_-_YTD"/>
      <sheetName val="Máscara_-_Q3"/>
      <sheetName val="Máscara_-_BP_Q3"/>
      <sheetName val="Máscara_-_LY_Q3"/>
      <sheetName val="BR_376_km_143,2"/>
      <sheetName val="Resumo_Rec__Rede"/>
      <sheetName val="ANNEXES_3"/>
      <sheetName val="Stock_Chart"/>
      <sheetName val="Listas_Suspensas"/>
      <sheetName val="1A__Custo_e_Benefícios"/>
      <sheetName val="Farol de Metas"/>
      <sheetName val="Indice Precos Mes"/>
      <sheetName val="Grafico"/>
      <sheetName val="Deduc. Reaj."/>
    </sheetNames>
    <sheetDataSet>
      <sheetData sheetId="0" refreshError="1"/>
      <sheetData sheetId="1" refreshError="1">
        <row r="2">
          <cell r="D2" t="str">
            <v>Razão Social</v>
          </cell>
          <cell r="F2" t="str">
            <v>Objeto</v>
          </cell>
          <cell r="G2" t="str">
            <v>Área</v>
          </cell>
          <cell r="H2" t="str">
            <v>Gestor</v>
          </cell>
          <cell r="I2" t="str">
            <v>N.º Contrato</v>
          </cell>
          <cell r="J2" t="str">
            <v>Contrato/Aditivo/Encerr.</v>
          </cell>
          <cell r="K2" t="str">
            <v>Nº Aditivo</v>
          </cell>
        </row>
        <row r="3">
          <cell r="D3" t="str">
            <v>A Integração Recuperadora de Rodovias S/C Ltda</v>
          </cell>
          <cell r="F3" t="str">
            <v>Serviços de conservação civil.</v>
          </cell>
          <cell r="G3" t="str">
            <v>Conservação</v>
          </cell>
          <cell r="H3" t="str">
            <v>Nadalin</v>
          </cell>
          <cell r="I3" t="str">
            <v>ACTUA-CQ-0671/04</v>
          </cell>
          <cell r="J3" t="str">
            <v>Aditivo</v>
          </cell>
          <cell r="K3" t="str">
            <v>1º</v>
          </cell>
        </row>
        <row r="4">
          <cell r="D4" t="str">
            <v>Elena Franco Rosa Resende - ME</v>
          </cell>
          <cell r="F4" t="str">
            <v>Confecção e instalação de Gradil Orsometal de ferro chato 1' x 1/8', para proteção de Pista AVI - 01 do pedágio do km 46 da SP-270, Proteção solicitada pela Comissão da CIPA.</v>
          </cell>
          <cell r="G4" t="str">
            <v>Manutenção</v>
          </cell>
          <cell r="H4" t="str">
            <v>Savietto</v>
          </cell>
          <cell r="J4" t="str">
            <v>Contrato</v>
          </cell>
        </row>
        <row r="5">
          <cell r="D5" t="str">
            <v>Lumafran Consultoria Ltda</v>
          </cell>
          <cell r="F5" t="str">
            <v>Serviços de manutenção e suporte local e remoto de carácter especializado em banco de dados em geral.</v>
          </cell>
          <cell r="G5" t="str">
            <v>Manutenção</v>
          </cell>
          <cell r="H5" t="str">
            <v>Savietto</v>
          </cell>
          <cell r="J5" t="str">
            <v>Contrato</v>
          </cell>
        </row>
        <row r="6">
          <cell r="D6" t="str">
            <v>Marjack Moto Peças Ltda</v>
          </cell>
          <cell r="F6" t="str">
            <v>Fornecimento de peças e materiais em geral para manutenção.</v>
          </cell>
          <cell r="G6" t="str">
            <v>Manutenção</v>
          </cell>
          <cell r="H6" t="str">
            <v>Savietto</v>
          </cell>
          <cell r="J6" t="str">
            <v>Contrato</v>
          </cell>
        </row>
        <row r="7">
          <cell r="D7" t="str">
            <v xml:space="preserve">Álamo Engenharia SA </v>
          </cell>
          <cell r="F7" t="str">
            <v>Serviços de Manutenção de Sistemas Eletro-Eletrônicos para a AutoBAn, conforme os Pacotes abaixo:- Pacote C - Sistemas de emergência, grupos geradores e nobreaks;- Pacote D - Elétrica viária e predial;- Pacote E - Sistemas de climatização;- Pacotes especi</v>
          </cell>
          <cell r="G7" t="str">
            <v>Manutenção</v>
          </cell>
          <cell r="H7" t="str">
            <v>Savietto</v>
          </cell>
          <cell r="J7" t="str">
            <v>Contrato</v>
          </cell>
        </row>
        <row r="8">
          <cell r="D8" t="str">
            <v>Ultraview Sistemas, comércio e serviços Ltda ME</v>
          </cell>
          <cell r="F8" t="str">
            <v xml:space="preserve">Serviços de consultoria  em sistema eletrônicos de ITS para a Concessionária da Ponte Rio-Niterói S.A. </v>
          </cell>
          <cell r="G8" t="str">
            <v>Manutenção</v>
          </cell>
          <cell r="H8" t="str">
            <v>Savietto</v>
          </cell>
          <cell r="J8" t="str">
            <v>Contrato</v>
          </cell>
        </row>
        <row r="9">
          <cell r="D9" t="str">
            <v>Afasa Construções e Comércio Ltda</v>
          </cell>
          <cell r="F9" t="str">
            <v>Venda de equipamentos especializados para execução de selagem de trincas em pavimento asfáltico.</v>
          </cell>
          <cell r="G9" t="str">
            <v>Obras</v>
          </cell>
          <cell r="H9" t="str">
            <v>Herzen</v>
          </cell>
          <cell r="J9" t="str">
            <v>Contrato</v>
          </cell>
        </row>
        <row r="10">
          <cell r="D10" t="str">
            <v>Afasa Construções e Comércio Ltda</v>
          </cell>
          <cell r="F10" t="str">
            <v>Serviços de selagem de trincas com emprego de material asfáltico com polímetro, ao longo do pavimento da Rodovia Presidente Dutra.</v>
          </cell>
          <cell r="G10" t="str">
            <v>Obras</v>
          </cell>
          <cell r="H10" t="str">
            <v>Herzen</v>
          </cell>
          <cell r="I10" t="str">
            <v>ACTUA-CP-0282/05</v>
          </cell>
          <cell r="J10" t="str">
            <v>Contrato</v>
          </cell>
        </row>
        <row r="11">
          <cell r="D11" t="str">
            <v>Lumafran Consultoria Ltda</v>
          </cell>
          <cell r="F11" t="str">
            <v>Serviços de manutenção e suporte local e remoto de carácter especializado em banco de dados em geral.</v>
          </cell>
          <cell r="G11" t="str">
            <v>Manutenção</v>
          </cell>
          <cell r="H11" t="str">
            <v>Savietto</v>
          </cell>
          <cell r="J11" t="str">
            <v>Contrato</v>
          </cell>
        </row>
        <row r="12">
          <cell r="D12" t="str">
            <v>Jofege Pavimentação e Construção Ltda</v>
          </cell>
          <cell r="F12" t="str">
            <v>Serviços de implantação de Marginais na SP-330, Rodovia Anhanguera, entre o km 50+000 e o km 53+550 nas Pistas, Norte e Sul e entre o km 54+158 e o km 58+000 da Pista Norte.</v>
          </cell>
          <cell r="G12" t="str">
            <v>Obras</v>
          </cell>
          <cell r="H12" t="str">
            <v>Moita</v>
          </cell>
          <cell r="J12" t="str">
            <v>Contrato</v>
          </cell>
        </row>
        <row r="13">
          <cell r="D13" t="str">
            <v>Vieceli &amp; Furlan Assossiados Comércio de Serviços Ltda</v>
          </cell>
          <cell r="F13" t="str">
            <v>Desenvolvimento e fornecimento de software para contagem de veículos que utilizam sistemas de identificação automática de veículos e a instalação de duas antenas Amtech em viaduto próximo ao RJ.</v>
          </cell>
          <cell r="G13" t="str">
            <v>Manutenção</v>
          </cell>
          <cell r="H13" t="str">
            <v>Savietto</v>
          </cell>
          <cell r="J13" t="str">
            <v>Contrato</v>
          </cell>
        </row>
        <row r="14">
          <cell r="D14" t="str">
            <v>Terra Brasilis Arquitetura e Consultoria SCL</v>
          </cell>
          <cell r="F14" t="str">
            <v>Plantio de mudas de árvores de espécies nativas, baseado na técnica de sucessão secundária, num total de 4.000 mudas em Guaratinguetá na Rodovia Presidente Dutra.</v>
          </cell>
          <cell r="G14" t="str">
            <v>Ambiente</v>
          </cell>
          <cell r="H14" t="str">
            <v>Nilo</v>
          </cell>
          <cell r="J14" t="str">
            <v>Contrato</v>
          </cell>
        </row>
        <row r="15">
          <cell r="D15" t="str">
            <v>MPMEC Eletro Mecanica Ltda</v>
          </cell>
          <cell r="F15" t="str">
            <v>Serviços de conservação de estruturas metálicas localizadas na Ponte Rio Niterói.</v>
          </cell>
          <cell r="G15" t="str">
            <v>Obras</v>
          </cell>
          <cell r="H15" t="str">
            <v>Nilton</v>
          </cell>
          <cell r="J15" t="str">
            <v>Contrato</v>
          </cell>
        </row>
        <row r="16">
          <cell r="D16" t="str">
            <v>Mapylar Engenharia Ltda</v>
          </cell>
          <cell r="F16" t="str">
            <v>Serviços de Execução de dispositivos de drenagem tais como recuperação de sarjetas e implantação de meio-fio em diversos pontos ao longo da rodovia RJ-124.</v>
          </cell>
          <cell r="G16" t="str">
            <v>Manutenção</v>
          </cell>
          <cell r="H16" t="str">
            <v>Nilton</v>
          </cell>
          <cell r="J16" t="str">
            <v>Contrato</v>
          </cell>
        </row>
        <row r="17">
          <cell r="D17" t="str">
            <v>Engenharia e Construção Mectal Ltda</v>
          </cell>
          <cell r="F17" t="str">
            <v>Serviços de retirada de pórtico bandeira do canteiro de obras da manutenção elétrica,reforma e montagem do mesmo em local a ser definido pela Ponte S/A; Remoção de painel de mensagens variáveis da Av.Jansen de Melo e reinstalação do mesmo no pórtico do it</v>
          </cell>
          <cell r="G17" t="str">
            <v>Obras</v>
          </cell>
          <cell r="H17" t="str">
            <v>Nilton</v>
          </cell>
          <cell r="J17" t="str">
            <v>Contrato</v>
          </cell>
        </row>
        <row r="18">
          <cell r="D18" t="str">
            <v>Sinalta Propista Sinalização, Segurança e Comunicação Visual Ltda</v>
          </cell>
          <cell r="F18" t="str">
            <v>Confecção e implantação de Sinalização Vertical para a Rodovia Presidente Dutra, trechos de São Paulo e Rio de Janeiro.</v>
          </cell>
          <cell r="G18" t="str">
            <v>Obras</v>
          </cell>
          <cell r="H18" t="str">
            <v>Herzen</v>
          </cell>
          <cell r="J18" t="str">
            <v>Contrato</v>
          </cell>
        </row>
        <row r="19">
          <cell r="D19" t="str">
            <v>VCS -Vitória Construções e Serviços Ltda</v>
          </cell>
          <cell r="F19" t="str">
            <v>Serviços de Implantação do Ramo 831 e Acesso Local,localizados no Km 216+700/SP, Pista Norte</v>
          </cell>
          <cell r="G19" t="str">
            <v>Obras</v>
          </cell>
          <cell r="H19" t="str">
            <v>Herzen</v>
          </cell>
          <cell r="J19" t="str">
            <v>Contrato</v>
          </cell>
        </row>
        <row r="21">
          <cell r="I21">
            <v>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sheetData sheetId="28" refreshError="1"/>
      <sheetData sheetId="29"/>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ow r="2">
          <cell r="D2">
            <v>0</v>
          </cell>
        </row>
      </sheetData>
      <sheetData sheetId="43">
        <row r="2">
          <cell r="D2">
            <v>0</v>
          </cell>
        </row>
      </sheetData>
      <sheetData sheetId="44">
        <row r="2">
          <cell r="D2">
            <v>0</v>
          </cell>
        </row>
      </sheetData>
      <sheetData sheetId="45">
        <row r="2">
          <cell r="D2">
            <v>0</v>
          </cell>
        </row>
      </sheetData>
      <sheetData sheetId="46">
        <row r="2">
          <cell r="D2">
            <v>0</v>
          </cell>
        </row>
      </sheetData>
      <sheetData sheetId="47">
        <row r="2">
          <cell r="D2">
            <v>0</v>
          </cell>
        </row>
      </sheetData>
      <sheetData sheetId="48" refreshError="1"/>
      <sheetData sheetId="49" refreshError="1"/>
      <sheetData sheetId="50" refreshError="1"/>
      <sheetData sheetId="51" refreshError="1"/>
      <sheetData sheetId="52" refreshError="1"/>
      <sheetData sheetId="53" refreshError="1"/>
      <sheetData sheetId="54">
        <row r="2">
          <cell r="D2">
            <v>0</v>
          </cell>
        </row>
      </sheetData>
      <sheetData sheetId="55">
        <row r="2">
          <cell r="D2">
            <v>0</v>
          </cell>
        </row>
      </sheetData>
      <sheetData sheetId="56">
        <row r="2">
          <cell r="D2">
            <v>0</v>
          </cell>
        </row>
      </sheetData>
      <sheetData sheetId="57">
        <row r="2">
          <cell r="D2">
            <v>0</v>
          </cell>
        </row>
      </sheetData>
      <sheetData sheetId="58">
        <row r="2">
          <cell r="D2">
            <v>0</v>
          </cell>
        </row>
      </sheetData>
      <sheetData sheetId="59">
        <row r="2">
          <cell r="D2">
            <v>0</v>
          </cell>
        </row>
      </sheetData>
      <sheetData sheetId="60">
        <row r="2">
          <cell r="D2">
            <v>0</v>
          </cell>
        </row>
      </sheetData>
      <sheetData sheetId="61">
        <row r="2">
          <cell r="D2">
            <v>0</v>
          </cell>
        </row>
      </sheetData>
      <sheetData sheetId="62">
        <row r="2">
          <cell r="D2">
            <v>0</v>
          </cell>
        </row>
      </sheetData>
      <sheetData sheetId="63">
        <row r="2">
          <cell r="D2">
            <v>0</v>
          </cell>
        </row>
      </sheetData>
      <sheetData sheetId="64" refreshError="1"/>
      <sheetData sheetId="65">
        <row r="2">
          <cell r="D2">
            <v>0</v>
          </cell>
        </row>
      </sheetData>
      <sheetData sheetId="66">
        <row r="2">
          <cell r="D2">
            <v>0</v>
          </cell>
        </row>
      </sheetData>
      <sheetData sheetId="67">
        <row r="2">
          <cell r="D2">
            <v>0</v>
          </cell>
        </row>
      </sheetData>
      <sheetData sheetId="68">
        <row r="2">
          <cell r="D2">
            <v>0</v>
          </cell>
        </row>
      </sheetData>
      <sheetData sheetId="69">
        <row r="2">
          <cell r="D2">
            <v>0</v>
          </cell>
        </row>
      </sheetData>
      <sheetData sheetId="70">
        <row r="2">
          <cell r="D2">
            <v>0</v>
          </cell>
        </row>
      </sheetData>
      <sheetData sheetId="71">
        <row r="2">
          <cell r="D2">
            <v>0</v>
          </cell>
        </row>
      </sheetData>
      <sheetData sheetId="72">
        <row r="2">
          <cell r="D2">
            <v>0</v>
          </cell>
        </row>
      </sheetData>
      <sheetData sheetId="73">
        <row r="2">
          <cell r="D2">
            <v>0</v>
          </cell>
        </row>
      </sheetData>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sheetData sheetId="115"/>
      <sheetData sheetId="116"/>
      <sheetData sheetId="117"/>
      <sheetData sheetId="118"/>
      <sheetData sheetId="119"/>
      <sheetData sheetId="120">
        <row r="2">
          <cell r="F2">
            <v>0</v>
          </cell>
        </row>
      </sheetData>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row r="2">
          <cell r="G2" t="str">
            <v>Jan</v>
          </cell>
        </row>
      </sheetData>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refreshError="1"/>
      <sheetData sheetId="150" refreshError="1"/>
      <sheetData sheetId="151"/>
      <sheetData sheetId="152"/>
      <sheetData sheetId="153"/>
      <sheetData sheetId="154"/>
      <sheetData sheetId="155"/>
      <sheetData sheetId="156" refreshError="1"/>
      <sheetData sheetId="157" refreshError="1"/>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row r="2">
          <cell r="D2">
            <v>0</v>
          </cell>
        </row>
      </sheetData>
      <sheetData sheetId="176">
        <row r="2">
          <cell r="D2">
            <v>0</v>
          </cell>
        </row>
      </sheetData>
      <sheetData sheetId="177">
        <row r="2">
          <cell r="D2">
            <v>0</v>
          </cell>
        </row>
      </sheetData>
      <sheetData sheetId="178">
        <row r="2">
          <cell r="D2">
            <v>0</v>
          </cell>
        </row>
      </sheetData>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refreshError="1"/>
      <sheetData sheetId="194" refreshError="1"/>
      <sheetData sheetId="195"/>
      <sheetData sheetId="196"/>
      <sheetData sheetId="197"/>
      <sheetData sheetId="198"/>
      <sheetData sheetId="199"/>
      <sheetData sheetId="200"/>
      <sheetData sheetId="201"/>
      <sheetData sheetId="202"/>
      <sheetData sheetId="203"/>
      <sheetData sheetId="204"/>
      <sheetData sheetId="205"/>
      <sheetData sheetId="206">
        <row r="2">
          <cell r="F2">
            <v>0</v>
          </cell>
        </row>
      </sheetData>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refreshError="1"/>
      <sheetData sheetId="232" refreshError="1"/>
      <sheetData sheetId="233" refreshError="1"/>
      <sheetData sheetId="23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P079907"/>
      <sheetName val="Acom"/>
      <sheetName val="Foto 3x4"/>
      <sheetName val="Resumo"/>
      <sheetName val="Est R$"/>
      <sheetName val="Lançamento"/>
      <sheetName val="Fluxo Sc"/>
      <sheetName val="Resumo Sc"/>
      <sheetName val="Fluxo Gafisa"/>
      <sheetName val="Fluxo_Real_(UFG)"/>
      <sheetName val="Fluxo_Nominal_(Reais)"/>
      <sheetName val="Fluxo_Real_(R$)"/>
      <sheetName val="Fiscal"/>
      <sheetName val="Societario"/>
      <sheetName val="Societario Anual"/>
      <sheetName val="Impostos"/>
      <sheetName val="Giro"/>
      <sheetName val="EVAGraf"/>
      <sheetName val="Mód.1"/>
      <sheetName val="Bc Dad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ção"/>
      <sheetName val="Ano-base"/>
      <sheetName val="Dialog"/>
      <sheetName val="Premissas"/>
      <sheetName val="Demonstração de resultados"/>
      <sheetName val="Balanço patrimonial"/>
      <sheetName val="Fluxo de caixa"/>
      <sheetName val="Gráfico da demonstração de resu"/>
      <sheetName val="Gráfico do balanço patrimonial"/>
      <sheetName val="Gráfico do fluxo de caixa"/>
      <sheetName val="Gráfico do fluxo de caixa livre"/>
      <sheetName val="MyDialog"/>
      <sheetName val="VDlg"/>
      <sheetName val="Module1"/>
      <sheetName val="Input"/>
      <sheetName val="Controle"/>
      <sheetName val="$Interseções"/>
      <sheetName val="aux"/>
      <sheetName val="OP079907"/>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AIGESEN"/>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gg"/>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létrica"/>
      <sheetName val="Hidráulica"/>
      <sheetName val="Tarifas"/>
      <sheetName val="Premissas"/>
      <sheetName val="Equip e Ferramentas"/>
      <sheetName val="Materiais"/>
      <sheetName val="Outros"/>
      <sheetName val="Listas Suspensas"/>
      <sheetName val="Dados"/>
      <sheetName val="EAIGESEN"/>
      <sheetName val="apoio"/>
      <sheetName val="Insumos"/>
      <sheetName val="Listas"/>
      <sheetName val="PLANILHA Pav 1 enviado rev 01"/>
      <sheetName val="PLANILHA Pav 1 enviado rev 02"/>
      <sheetName val="PLANILHA enviado"/>
      <sheetName val="PLANILHA final"/>
      <sheetName val="PLANILHA - caucionamento DAERP"/>
      <sheetName val="PLANILHA - caucionamento INFRA"/>
      <sheetName val="PLANILHA  - AUTEM"/>
      <sheetName val="PLANILHA ORÇAMENTO"/>
      <sheetName val="PLANILHA  - ENVIO COM SIN."/>
      <sheetName val="PLANILHA  - COMPARATIVA"/>
      <sheetName val="Empresas"/>
      <sheetName val="PLAN COMP - 1ª ROD"/>
      <sheetName val="PLAN COMP - 2ª ROD"/>
      <sheetName val="PLAN COMP - 3ª ROD "/>
      <sheetName val="RESUMO COMPARATIVO-TADEU"/>
      <sheetName val="RESUMO COMPARATIVO"/>
      <sheetName val="RESUMO"/>
      <sheetName val="PLANILHA ORÇAMENTO "/>
      <sheetName val="PLANILHA ORÇAMENTO-FINAL"/>
      <sheetName val="comp drenagem"/>
      <sheetName val="TERRAPLENAGEM"/>
      <sheetName val="TERRAPLENAGEM JOAQUIM CORRETO"/>
      <sheetName val="MATERIAL - ÁGUA - ESGOTO"/>
      <sheetName val="TUBO AGUA"/>
      <sheetName val="TUBO Ø 150 MM ESGOTO "/>
      <sheetName val="POÇO VISITA ESGOTO "/>
      <sheetName val="PAVIMENTAÇÃO  SUBLEITO"/>
      <sheetName val="PAVIMENTAÇÃO SOLO BRITA"/>
      <sheetName val="PAVIMENTAÇÃO  CBUQ"/>
      <sheetName val="DRENAGEM SANTANA"/>
      <sheetName val="TUBO DIAM 400 MM"/>
      <sheetName val="TUBO DIAM 500 MM"/>
      <sheetName val="TUBO DIAM 600 MM"/>
      <sheetName val="TUBO DIAM 800 MM"/>
      <sheetName val="TUBO DIAM 1000 MM"/>
      <sheetName val="TUBO DIAM 1200 MM"/>
      <sheetName val="TUBO DIAM 1500 MM"/>
      <sheetName val="POÇO DE VISITA"/>
      <sheetName val="BOCA DE LOBO"/>
      <sheetName val="RESUMO COMPARATIVO-TADEU (2)"/>
      <sheetName val="Equip_e_Ferramentas"/>
      <sheetName val="Listas_Suspensas"/>
      <sheetName val="market"/>
      <sheetName val="NR (Consulta)"/>
      <sheetName val="Dados_Saúde"/>
      <sheetName val="Heat exch. table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refreshError="1"/>
      <sheetData sheetId="56" refreshError="1"/>
      <sheetData sheetId="57" refreshError="1"/>
      <sheetData sheetId="58"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te11-adm REV2-Real"/>
      <sheetName val="#REF"/>
      <sheetName val="Premissas Macro"/>
      <sheetName val="Elétrica"/>
      <sheetName val="00 Cadastros"/>
      <sheetName val="ListaEncarregados"/>
      <sheetName val="Base Salários"/>
      <sheetName val="netherlands"/>
      <sheetName val="france"/>
      <sheetName val="italy"/>
      <sheetName val="uk"/>
      <sheetName val="EAIGESEN"/>
      <sheetName val="Map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utput1"/>
      <sheetName val="1"/>
      <sheetName val="Resultados"/>
      <sheetName val="Painel de Controle"/>
      <sheetName val="SPE"/>
      <sheetName val="Valuation"/>
      <sheetName val="IS"/>
      <sheetName val="BS"/>
      <sheetName val="CF"/>
      <sheetName val="Funding"/>
      <sheetName val="Premissas Funding"/>
      <sheetName val="Balanço Prévio"/>
      <sheetName val="Entrada de Dados"/>
      <sheetName val="Sensib"/>
      <sheetName val="2"/>
      <sheetName val="Receitas"/>
      <sheetName val="Capex Estimado"/>
      <sheetName val="Capex Orçado"/>
      <sheetName val="Opex"/>
      <sheetName val="3"/>
      <sheetName val="Debt"/>
      <sheetName val="Auxiliar"/>
      <sheetName val="Resultados velho"/>
      <sheetName val="4"/>
      <sheetName val="Indicadores"/>
      <sheetName val="Rec Opex Capex"/>
      <sheetName val="Rec Totais (a)"/>
      <sheetName val="Rec Totais (b)"/>
      <sheetName val="Balanço"/>
      <sheetName val="Resultado"/>
      <sheetName val="Fluxos Acumulados"/>
      <sheetName val="Cap Dív"/>
      <sheetName val="DSCR - LTDE"/>
      <sheetName val="Rentabilidade"/>
      <sheetName val="Módulo2"/>
      <sheetName val="Módulo5"/>
      <sheetName val="#REF"/>
      <sheetName val="Controle"/>
      <sheetName val="Planilha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8" Type="http://schemas.openxmlformats.org/officeDocument/2006/relationships/printerSettings" Target="../printerSettings/printerSettings8.bin"/><Relationship Id="rId3" Type="http://schemas.openxmlformats.org/officeDocument/2006/relationships/hyperlink" Target="https://www.zapimoveis.com.br/imovel/venda-terreno-lote-condominio-macuco-santos-sp-823m2-id-2568426743/" TargetMode="External"/><Relationship Id="rId7" Type="http://schemas.openxmlformats.org/officeDocument/2006/relationships/hyperlink" Target="https://www.zapimoveis.com.br/imovel/venda-terreno-lote-condominio-macuco-santos-sp-320m2-id-2577754336/" TargetMode="External"/><Relationship Id="rId2" Type="http://schemas.openxmlformats.org/officeDocument/2006/relationships/hyperlink" Target="https://www.zapimoveis.com.br/imovel/venda-terreno-lote-condominio-macuco-santos-sp-270m2-id-2672207648/" TargetMode="External"/><Relationship Id="rId1" Type="http://schemas.openxmlformats.org/officeDocument/2006/relationships/hyperlink" Target="https://www.zapimoveis.com.br/imovel/venda-terreno-lote-condominio-macuco-santos-sp-790m2-id-2708762170/" TargetMode="External"/><Relationship Id="rId6" Type="http://schemas.openxmlformats.org/officeDocument/2006/relationships/hyperlink" Target="https://www.zapimoveis.com.br/imovel/venda-terreno-lote-condominio-sitio-paecara-guaruja-sp-403m2-id-2678052940/" TargetMode="External"/><Relationship Id="rId5" Type="http://schemas.openxmlformats.org/officeDocument/2006/relationships/hyperlink" Target="https://www.zapimoveis.com.br/imovel/venda-terreno-lote-condominio-macuco-santos-sp-442m2-id-2451865233/" TargetMode="External"/><Relationship Id="rId4" Type="http://schemas.openxmlformats.org/officeDocument/2006/relationships/hyperlink" Target="https://www.zapimoveis.com.br/imovel/venda-terreno-lote-comercial-macuco-santos-sp-500m2-id-2534260532/"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52D8E5-1CC5-43BA-8ECF-95B67AC18140}">
  <dimension ref="A1:C15"/>
  <sheetViews>
    <sheetView tabSelected="1" workbookViewId="0">
      <selection sqref="A1:C1"/>
    </sheetView>
  </sheetViews>
  <sheetFormatPr defaultRowHeight="15" x14ac:dyDescent="0.25"/>
  <cols>
    <col min="1" max="1" width="8.42578125" customWidth="1"/>
    <col min="2" max="2" width="57.140625" bestFit="1" customWidth="1"/>
    <col min="3" max="3" width="16.140625" bestFit="1" customWidth="1"/>
  </cols>
  <sheetData>
    <row r="1" spans="1:3" x14ac:dyDescent="0.25">
      <c r="A1" s="324" t="s">
        <v>950</v>
      </c>
      <c r="B1" s="324"/>
      <c r="C1" s="324"/>
    </row>
    <row r="2" spans="1:3" x14ac:dyDescent="0.25">
      <c r="A2" s="311" t="s">
        <v>948</v>
      </c>
      <c r="B2" s="311" t="s">
        <v>29</v>
      </c>
      <c r="C2" s="311" t="s">
        <v>949</v>
      </c>
    </row>
    <row r="3" spans="1:3" x14ac:dyDescent="0.25">
      <c r="A3" s="306">
        <v>1</v>
      </c>
      <c r="B3" s="306" t="s">
        <v>16</v>
      </c>
      <c r="C3" s="309">
        <f>Q9B!E8</f>
        <v>2633.6071200000001</v>
      </c>
    </row>
    <row r="4" spans="1:3" x14ac:dyDescent="0.25">
      <c r="A4" s="306">
        <v>2</v>
      </c>
      <c r="B4" s="306" t="s">
        <v>18</v>
      </c>
      <c r="C4" s="309">
        <f>Q9B!E9</f>
        <v>122.86743997664708</v>
      </c>
    </row>
    <row r="5" spans="1:3" x14ac:dyDescent="0.25">
      <c r="A5" s="306">
        <v>3</v>
      </c>
      <c r="B5" s="306" t="s">
        <v>20</v>
      </c>
      <c r="C5" s="309">
        <f>Q9B!E10</f>
        <v>166.06849402723455</v>
      </c>
    </row>
    <row r="6" spans="1:3" x14ac:dyDescent="0.25">
      <c r="A6" s="306">
        <v>4</v>
      </c>
      <c r="B6" s="306" t="s">
        <v>23</v>
      </c>
      <c r="C6" s="309">
        <f>Q9B!E11</f>
        <v>278063.01791984617</v>
      </c>
    </row>
    <row r="7" spans="1:3" x14ac:dyDescent="0.25">
      <c r="A7" s="306">
        <v>5</v>
      </c>
      <c r="B7" s="306" t="s">
        <v>25</v>
      </c>
      <c r="C7" s="309">
        <f>Q9B!E12</f>
        <v>16567.07372</v>
      </c>
    </row>
    <row r="8" spans="1:3" x14ac:dyDescent="0.25">
      <c r="A8" s="306">
        <v>6</v>
      </c>
      <c r="B8" s="306" t="s">
        <v>27</v>
      </c>
      <c r="C8" s="309">
        <f>Q9B!E13</f>
        <v>12512.30647919108</v>
      </c>
    </row>
    <row r="9" spans="1:3" x14ac:dyDescent="0.25">
      <c r="A9" s="306"/>
      <c r="B9" s="310" t="s">
        <v>13</v>
      </c>
      <c r="C9" s="312">
        <f>SUM(C3:C8)</f>
        <v>310064.94117304112</v>
      </c>
    </row>
    <row r="10" spans="1:3" x14ac:dyDescent="0.25">
      <c r="B10" s="313"/>
      <c r="C10" s="314"/>
    </row>
    <row r="11" spans="1:3" x14ac:dyDescent="0.25">
      <c r="A11" s="324" t="s">
        <v>951</v>
      </c>
      <c r="B11" s="324"/>
      <c r="C11" s="324"/>
    </row>
    <row r="12" spans="1:3" x14ac:dyDescent="0.25">
      <c r="A12" s="311" t="s">
        <v>948</v>
      </c>
      <c r="B12" s="311" t="s">
        <v>29</v>
      </c>
      <c r="C12" s="311" t="s">
        <v>949</v>
      </c>
    </row>
    <row r="13" spans="1:3" x14ac:dyDescent="0.25">
      <c r="A13" s="306">
        <v>1</v>
      </c>
      <c r="B13" s="306" t="s">
        <v>7</v>
      </c>
      <c r="C13" s="309">
        <f>Q4B!E7</f>
        <v>3592.0993607999999</v>
      </c>
    </row>
    <row r="14" spans="1:3" x14ac:dyDescent="0.25">
      <c r="A14" s="306">
        <v>2</v>
      </c>
      <c r="B14" s="306" t="s">
        <v>9</v>
      </c>
      <c r="C14" s="309">
        <f>Q4B!E8</f>
        <v>13141.116014399999</v>
      </c>
    </row>
    <row r="15" spans="1:3" x14ac:dyDescent="0.25">
      <c r="A15" s="306"/>
      <c r="B15" s="310" t="s">
        <v>13</v>
      </c>
      <c r="C15" s="312">
        <f>SUM(C13:C14)</f>
        <v>16733.215375199998</v>
      </c>
    </row>
  </sheetData>
  <mergeCells count="2">
    <mergeCell ref="A1:C1"/>
    <mergeCell ref="A11:C11"/>
  </mergeCells>
  <pageMargins left="0.511811024" right="0.511811024" top="0.78740157499999996" bottom="0.78740157499999996" header="0.31496062000000002" footer="0.3149606200000000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A9868E-A7F1-410F-88B3-6DFD29227B47}">
  <dimension ref="A1:R38"/>
  <sheetViews>
    <sheetView workbookViewId="0">
      <selection activeCell="A20" sqref="A20"/>
    </sheetView>
  </sheetViews>
  <sheetFormatPr defaultRowHeight="15" x14ac:dyDescent="0.25"/>
  <cols>
    <col min="1" max="1" width="22.140625" style="283" customWidth="1"/>
    <col min="2" max="2" width="39" bestFit="1" customWidth="1"/>
    <col min="3" max="3" width="40" bestFit="1" customWidth="1"/>
    <col min="4" max="4" width="38.28515625" bestFit="1" customWidth="1"/>
    <col min="5" max="5" width="33.140625" bestFit="1" customWidth="1"/>
    <col min="6" max="6" width="27.28515625" bestFit="1" customWidth="1"/>
    <col min="7" max="7" width="24.140625" bestFit="1" customWidth="1"/>
    <col min="8" max="9" width="20.5703125" style="288" bestFit="1" customWidth="1"/>
    <col min="10" max="10" width="13.140625" customWidth="1"/>
    <col min="13" max="13" width="40.5703125" bestFit="1" customWidth="1"/>
    <col min="14" max="14" width="15.85546875" customWidth="1"/>
    <col min="15" max="15" width="15.5703125" bestFit="1" customWidth="1"/>
    <col min="16" max="17" width="17.7109375" bestFit="1" customWidth="1"/>
    <col min="18" max="18" width="119" customWidth="1"/>
  </cols>
  <sheetData>
    <row r="1" spans="1:18" x14ac:dyDescent="0.25">
      <c r="A1" s="24" t="s">
        <v>57</v>
      </c>
      <c r="B1" s="333" t="s">
        <v>806</v>
      </c>
      <c r="C1" s="333"/>
      <c r="D1" s="333"/>
      <c r="E1" s="333"/>
      <c r="F1" s="333"/>
      <c r="G1" s="333"/>
      <c r="H1" s="333"/>
      <c r="I1" s="333"/>
      <c r="J1" s="333"/>
    </row>
    <row r="2" spans="1:18" x14ac:dyDescent="0.25">
      <c r="A2" s="320"/>
    </row>
    <row r="3" spans="1:18" x14ac:dyDescent="0.25">
      <c r="A3" s="321" t="s">
        <v>982</v>
      </c>
    </row>
    <row r="4" spans="1:18" x14ac:dyDescent="0.25">
      <c r="A4" s="320"/>
    </row>
    <row r="5" spans="1:18" ht="12" customHeight="1" x14ac:dyDescent="0.25">
      <c r="A5" s="285" t="s">
        <v>866</v>
      </c>
      <c r="B5" s="285" t="s">
        <v>871</v>
      </c>
      <c r="C5" s="285" t="s">
        <v>881</v>
      </c>
      <c r="D5" s="285" t="s">
        <v>386</v>
      </c>
      <c r="E5" s="285" t="s">
        <v>849</v>
      </c>
      <c r="F5" s="285" t="s">
        <v>883</v>
      </c>
      <c r="G5" s="285" t="s">
        <v>850</v>
      </c>
      <c r="H5" s="41" t="s">
        <v>388</v>
      </c>
      <c r="I5" s="319"/>
      <c r="M5" s="374" t="s">
        <v>873</v>
      </c>
      <c r="N5" s="375"/>
      <c r="O5" s="375"/>
      <c r="P5" s="375"/>
      <c r="Q5" s="375"/>
      <c r="R5" s="376"/>
    </row>
    <row r="6" spans="1:18" ht="12" customHeight="1" x14ac:dyDescent="0.25">
      <c r="A6" s="284" t="s">
        <v>848</v>
      </c>
      <c r="B6" s="284" t="s">
        <v>880</v>
      </c>
      <c r="C6" s="284" t="s">
        <v>872</v>
      </c>
      <c r="D6" s="286">
        <f>48792/10000</f>
        <v>4.8792</v>
      </c>
      <c r="E6" s="299">
        <f>Q19</f>
        <v>2553.2091393298583</v>
      </c>
      <c r="F6" s="299">
        <f>(D6*10000)*E6</f>
        <v>124576180.32618244</v>
      </c>
      <c r="G6" s="299">
        <f>F6*1.2%</f>
        <v>1494914.1639141892</v>
      </c>
      <c r="H6" s="107">
        <f>F6+G6</f>
        <v>126071094.49009663</v>
      </c>
      <c r="I6" s="34"/>
      <c r="M6" s="285" t="s">
        <v>866</v>
      </c>
      <c r="N6" s="285" t="s">
        <v>851</v>
      </c>
      <c r="O6" s="285" t="s">
        <v>855</v>
      </c>
      <c r="P6" s="285" t="s">
        <v>387</v>
      </c>
      <c r="Q6" s="285" t="s">
        <v>852</v>
      </c>
      <c r="R6" s="285" t="s">
        <v>853</v>
      </c>
    </row>
    <row r="7" spans="1:18" ht="12" customHeight="1" x14ac:dyDescent="0.25">
      <c r="A7" s="284" t="s">
        <v>848</v>
      </c>
      <c r="B7" s="284" t="s">
        <v>880</v>
      </c>
      <c r="C7" s="284" t="s">
        <v>882</v>
      </c>
      <c r="D7" s="286">
        <f>48792/10000</f>
        <v>4.8792</v>
      </c>
      <c r="E7" s="140">
        <f>$N$24</f>
        <v>2188.88</v>
      </c>
      <c r="F7" s="299">
        <f>(D7*10000)*E7</f>
        <v>106799832.96000001</v>
      </c>
      <c r="G7" s="299">
        <f>F7*1.2%</f>
        <v>1281597.9955200001</v>
      </c>
      <c r="H7" s="107">
        <f>F7+G7</f>
        <v>108081430.95552</v>
      </c>
      <c r="I7" s="34"/>
      <c r="M7" s="284" t="s">
        <v>848</v>
      </c>
      <c r="N7" s="284" t="s">
        <v>854</v>
      </c>
      <c r="O7" s="284">
        <v>790</v>
      </c>
      <c r="P7" s="299">
        <v>1250000</v>
      </c>
      <c r="Q7" s="300">
        <f t="shared" ref="Q7:Q18" si="0">P7/O7</f>
        <v>1582.2784810126582</v>
      </c>
      <c r="R7" s="284" t="s">
        <v>856</v>
      </c>
    </row>
    <row r="8" spans="1:18" ht="12" customHeight="1" x14ac:dyDescent="0.25">
      <c r="A8" s="284" t="s">
        <v>857</v>
      </c>
      <c r="B8" s="284" t="s">
        <v>880</v>
      </c>
      <c r="C8" s="284" t="s">
        <v>872</v>
      </c>
      <c r="D8" s="287">
        <f>6002/10000</f>
        <v>0.60019999999999996</v>
      </c>
      <c r="E8" s="140">
        <f>Q20</f>
        <v>2529.5608173806172</v>
      </c>
      <c r="F8" s="140">
        <f>(D8*10000)*E8</f>
        <v>15182424.025918465</v>
      </c>
      <c r="G8" s="140">
        <f>F8*1.2%</f>
        <v>182189.08831102159</v>
      </c>
      <c r="H8" s="107">
        <f>F8+G8</f>
        <v>15364613.114229487</v>
      </c>
      <c r="I8" s="34"/>
      <c r="M8" s="284" t="s">
        <v>848</v>
      </c>
      <c r="N8" s="284" t="s">
        <v>854</v>
      </c>
      <c r="O8" s="284">
        <v>320</v>
      </c>
      <c r="P8" s="299">
        <v>800000</v>
      </c>
      <c r="Q8" s="300">
        <f t="shared" si="0"/>
        <v>2500</v>
      </c>
      <c r="R8" s="284" t="s">
        <v>858</v>
      </c>
    </row>
    <row r="9" spans="1:18" x14ac:dyDescent="0.25">
      <c r="A9" s="284" t="s">
        <v>857</v>
      </c>
      <c r="B9" s="284" t="s">
        <v>880</v>
      </c>
      <c r="C9" s="284" t="s">
        <v>882</v>
      </c>
      <c r="D9" s="287">
        <f>6000/10000</f>
        <v>0.6</v>
      </c>
      <c r="E9" s="140">
        <f>$N$24</f>
        <v>2188.88</v>
      </c>
      <c r="F9" s="140">
        <f>(D9*10000)*E9</f>
        <v>13133280</v>
      </c>
      <c r="G9" s="140">
        <f>F9*1.2%</f>
        <v>157599.36000000002</v>
      </c>
      <c r="H9" s="107">
        <f>F9+G9</f>
        <v>13290879.359999999</v>
      </c>
      <c r="I9" s="34"/>
      <c r="M9" s="284" t="s">
        <v>848</v>
      </c>
      <c r="N9" s="284" t="s">
        <v>854</v>
      </c>
      <c r="O9" s="284">
        <v>270</v>
      </c>
      <c r="P9" s="299">
        <v>689000</v>
      </c>
      <c r="Q9" s="300">
        <f t="shared" si="0"/>
        <v>2551.8518518518517</v>
      </c>
      <c r="R9" s="284" t="s">
        <v>859</v>
      </c>
    </row>
    <row r="10" spans="1:18" x14ac:dyDescent="0.25">
      <c r="M10" s="284" t="s">
        <v>848</v>
      </c>
      <c r="N10" s="284" t="s">
        <v>854</v>
      </c>
      <c r="O10" s="284">
        <v>823</v>
      </c>
      <c r="P10" s="299">
        <v>2100000</v>
      </c>
      <c r="Q10" s="300">
        <f t="shared" si="0"/>
        <v>2551.640340218712</v>
      </c>
      <c r="R10" s="284" t="s">
        <v>860</v>
      </c>
    </row>
    <row r="11" spans="1:18" x14ac:dyDescent="0.25">
      <c r="A11" s="378" t="s">
        <v>983</v>
      </c>
      <c r="B11" s="378"/>
      <c r="M11" s="284" t="s">
        <v>848</v>
      </c>
      <c r="N11" s="284" t="s">
        <v>854</v>
      </c>
      <c r="O11" s="284">
        <v>500</v>
      </c>
      <c r="P11" s="299">
        <v>1500000</v>
      </c>
      <c r="Q11" s="300">
        <f t="shared" si="0"/>
        <v>3000</v>
      </c>
      <c r="R11" s="284" t="s">
        <v>861</v>
      </c>
    </row>
    <row r="12" spans="1:18" ht="15" customHeight="1" x14ac:dyDescent="0.25">
      <c r="M12" s="284" t="s">
        <v>848</v>
      </c>
      <c r="N12" s="284" t="s">
        <v>854</v>
      </c>
      <c r="O12" s="284">
        <v>442</v>
      </c>
      <c r="P12" s="299">
        <v>1385000</v>
      </c>
      <c r="Q12" s="300">
        <f t="shared" si="0"/>
        <v>3133.4841628959275</v>
      </c>
      <c r="R12" s="284" t="s">
        <v>862</v>
      </c>
    </row>
    <row r="13" spans="1:18" ht="15" customHeight="1" x14ac:dyDescent="0.25">
      <c r="A13" s="285" t="s">
        <v>866</v>
      </c>
      <c r="B13" s="285" t="s">
        <v>960</v>
      </c>
      <c r="C13" s="285" t="s">
        <v>963</v>
      </c>
      <c r="D13" s="285" t="s">
        <v>964</v>
      </c>
      <c r="E13" s="285" t="s">
        <v>965</v>
      </c>
      <c r="F13" s="285" t="s">
        <v>961</v>
      </c>
      <c r="G13" s="285" t="s">
        <v>980</v>
      </c>
      <c r="H13" s="285" t="s">
        <v>981</v>
      </c>
      <c r="I13" s="41" t="s">
        <v>388</v>
      </c>
      <c r="M13" s="284" t="s">
        <v>857</v>
      </c>
      <c r="N13" s="284" t="s">
        <v>863</v>
      </c>
      <c r="O13" s="284">
        <v>87</v>
      </c>
      <c r="P13" s="301">
        <v>250000</v>
      </c>
      <c r="Q13" s="300">
        <f t="shared" si="0"/>
        <v>2873.5632183908046</v>
      </c>
      <c r="R13" s="284" t="s">
        <v>864</v>
      </c>
    </row>
    <row r="14" spans="1:18" x14ac:dyDescent="0.25">
      <c r="A14" s="284" t="s">
        <v>848</v>
      </c>
      <c r="B14" s="284">
        <v>164</v>
      </c>
      <c r="C14" s="284">
        <v>31</v>
      </c>
      <c r="D14" s="284">
        <v>10</v>
      </c>
      <c r="E14" s="284">
        <v>3</v>
      </c>
      <c r="F14" s="107">
        <f>(B14+C14+D14+E14)*$Q$36</f>
        <v>1040000</v>
      </c>
      <c r="G14" s="107">
        <f>C14*$Q$37</f>
        <v>3720000</v>
      </c>
      <c r="H14" s="107">
        <f>(D14*$Q$38)+(E14*$Q$38)</f>
        <v>9360000</v>
      </c>
      <c r="I14" s="107">
        <f>F14+G14+H14</f>
        <v>14120000</v>
      </c>
      <c r="M14" s="284" t="s">
        <v>857</v>
      </c>
      <c r="N14" s="284" t="s">
        <v>863</v>
      </c>
      <c r="O14" s="284">
        <v>660</v>
      </c>
      <c r="P14" s="301">
        <v>1000000</v>
      </c>
      <c r="Q14" s="300">
        <f t="shared" si="0"/>
        <v>1515.1515151515152</v>
      </c>
      <c r="R14" s="284" t="s">
        <v>865</v>
      </c>
    </row>
    <row r="15" spans="1:18" x14ac:dyDescent="0.25">
      <c r="A15" s="284" t="s">
        <v>857</v>
      </c>
      <c r="B15" s="284">
        <v>32</v>
      </c>
      <c r="C15" s="284">
        <v>2</v>
      </c>
      <c r="D15" s="284">
        <v>0</v>
      </c>
      <c r="E15" s="284">
        <v>1</v>
      </c>
      <c r="F15" s="107">
        <f>(B15+C15+D15+E15)*$Q$36</f>
        <v>175000</v>
      </c>
      <c r="G15" s="107">
        <f>C15*$Q$37</f>
        <v>240000</v>
      </c>
      <c r="H15" s="107">
        <f>(D15*$Q$38)+(E15*$Q$38)</f>
        <v>720000</v>
      </c>
      <c r="I15" s="107">
        <f>F15+G15+H15</f>
        <v>1135000</v>
      </c>
      <c r="M15" s="284" t="s">
        <v>857</v>
      </c>
      <c r="N15" s="284" t="s">
        <v>863</v>
      </c>
      <c r="O15" s="284">
        <v>403</v>
      </c>
      <c r="P15" s="301">
        <v>1100000</v>
      </c>
      <c r="Q15" s="300">
        <f t="shared" si="0"/>
        <v>2729.5285359801487</v>
      </c>
      <c r="R15" s="284" t="s">
        <v>867</v>
      </c>
    </row>
    <row r="16" spans="1:18" x14ac:dyDescent="0.25">
      <c r="A16" s="283" t="s">
        <v>966</v>
      </c>
      <c r="M16" s="284"/>
      <c r="N16" s="284"/>
      <c r="O16" s="284"/>
      <c r="P16" s="301"/>
      <c r="Q16" s="300"/>
      <c r="R16" s="284"/>
    </row>
    <row r="17" spans="1:18" ht="24" x14ac:dyDescent="0.25">
      <c r="A17" s="283" t="s">
        <v>979</v>
      </c>
      <c r="M17" s="284" t="s">
        <v>857</v>
      </c>
      <c r="N17" s="284" t="s">
        <v>863</v>
      </c>
      <c r="O17" s="284">
        <v>400</v>
      </c>
      <c r="P17" s="301">
        <v>1200000</v>
      </c>
      <c r="Q17" s="300">
        <f t="shared" si="0"/>
        <v>3000</v>
      </c>
      <c r="R17" s="284" t="s">
        <v>868</v>
      </c>
    </row>
    <row r="18" spans="1:18" ht="24" x14ac:dyDescent="0.25">
      <c r="A18" s="283" t="s">
        <v>978</v>
      </c>
      <c r="M18" s="284" t="s">
        <v>857</v>
      </c>
      <c r="N18" s="284" t="s">
        <v>942</v>
      </c>
      <c r="O18" s="284">
        <v>1100000</v>
      </c>
      <c r="P18" s="301">
        <v>385000000</v>
      </c>
      <c r="Q18" s="300">
        <f t="shared" si="0"/>
        <v>350</v>
      </c>
      <c r="R18" s="284" t="s">
        <v>943</v>
      </c>
    </row>
    <row r="19" spans="1:18" x14ac:dyDescent="0.25">
      <c r="A19" s="283" t="s">
        <v>992</v>
      </c>
      <c r="P19" s="307" t="s">
        <v>869</v>
      </c>
      <c r="Q19" s="308">
        <f>AVERAGE(Q7:Q12)</f>
        <v>2553.2091393298583</v>
      </c>
    </row>
    <row r="20" spans="1:18" x14ac:dyDescent="0.25">
      <c r="A20" s="283" t="s">
        <v>993</v>
      </c>
      <c r="P20" s="284" t="s">
        <v>870</v>
      </c>
      <c r="Q20" s="300">
        <f>AVERAGE(Q13:Q17)</f>
        <v>2529.5608173806172</v>
      </c>
    </row>
    <row r="22" spans="1:18" x14ac:dyDescent="0.25">
      <c r="M22" s="302" t="s">
        <v>876</v>
      </c>
    </row>
    <row r="23" spans="1:18" x14ac:dyDescent="0.25">
      <c r="M23" s="283"/>
    </row>
    <row r="24" spans="1:18" x14ac:dyDescent="0.25">
      <c r="M24" s="284" t="s">
        <v>877</v>
      </c>
      <c r="N24" s="299">
        <v>2188.88</v>
      </c>
    </row>
    <row r="25" spans="1:18" x14ac:dyDescent="0.25">
      <c r="M25" s="284" t="s">
        <v>878</v>
      </c>
      <c r="N25" s="299">
        <v>2127.02</v>
      </c>
    </row>
    <row r="26" spans="1:18" x14ac:dyDescent="0.25">
      <c r="M26" s="284" t="s">
        <v>967</v>
      </c>
      <c r="N26" s="299">
        <v>1045.27</v>
      </c>
    </row>
    <row r="27" spans="1:18" ht="30.75" customHeight="1" x14ac:dyDescent="0.25">
      <c r="M27" s="377" t="s">
        <v>879</v>
      </c>
      <c r="N27" s="377"/>
      <c r="O27" s="377"/>
      <c r="P27" s="377"/>
    </row>
    <row r="29" spans="1:18" x14ac:dyDescent="0.25">
      <c r="M29" s="302" t="s">
        <v>874</v>
      </c>
    </row>
    <row r="30" spans="1:18" x14ac:dyDescent="0.25">
      <c r="M30" s="283"/>
    </row>
    <row r="31" spans="1:18" ht="24" x14ac:dyDescent="0.25">
      <c r="M31" s="284" t="s">
        <v>875</v>
      </c>
      <c r="N31" s="299">
        <v>300000</v>
      </c>
    </row>
    <row r="32" spans="1:18" x14ac:dyDescent="0.25">
      <c r="M32" s="315"/>
      <c r="N32" s="316"/>
    </row>
    <row r="33" spans="13:17" x14ac:dyDescent="0.25">
      <c r="M33" s="285" t="s">
        <v>970</v>
      </c>
      <c r="N33" s="316"/>
    </row>
    <row r="34" spans="13:17" x14ac:dyDescent="0.25">
      <c r="M34" s="317"/>
      <c r="N34" s="316"/>
    </row>
    <row r="35" spans="13:17" x14ac:dyDescent="0.25">
      <c r="M35" s="302" t="s">
        <v>971</v>
      </c>
      <c r="N35" s="302" t="s">
        <v>973</v>
      </c>
      <c r="O35" s="302" t="s">
        <v>972</v>
      </c>
      <c r="P35" s="302" t="s">
        <v>974</v>
      </c>
      <c r="Q35" s="302" t="s">
        <v>977</v>
      </c>
    </row>
    <row r="36" spans="13:17" x14ac:dyDescent="0.25">
      <c r="M36" s="302" t="s">
        <v>962</v>
      </c>
      <c r="N36" s="318" t="s">
        <v>975</v>
      </c>
      <c r="O36" s="284">
        <v>1</v>
      </c>
      <c r="P36" s="299">
        <v>5000</v>
      </c>
      <c r="Q36" s="299">
        <f>O36*P36</f>
        <v>5000</v>
      </c>
    </row>
    <row r="37" spans="13:17" x14ac:dyDescent="0.25">
      <c r="M37" s="302" t="s">
        <v>968</v>
      </c>
      <c r="N37" s="318" t="s">
        <v>976</v>
      </c>
      <c r="O37" s="284">
        <v>12</v>
      </c>
      <c r="P37" s="299">
        <v>10000</v>
      </c>
      <c r="Q37" s="299">
        <f>O37*P37</f>
        <v>120000</v>
      </c>
    </row>
    <row r="38" spans="13:17" x14ac:dyDescent="0.25">
      <c r="M38" s="302" t="s">
        <v>969</v>
      </c>
      <c r="N38" s="318" t="s">
        <v>976</v>
      </c>
      <c r="O38" s="284">
        <v>12</v>
      </c>
      <c r="P38" s="299">
        <v>60000</v>
      </c>
      <c r="Q38" s="299">
        <f t="shared" ref="Q38" si="1">O38*P38</f>
        <v>720000</v>
      </c>
    </row>
  </sheetData>
  <mergeCells count="4">
    <mergeCell ref="M5:R5"/>
    <mergeCell ref="M27:P27"/>
    <mergeCell ref="B1:J1"/>
    <mergeCell ref="A11:B11"/>
  </mergeCells>
  <phoneticPr fontId="13" type="noConversion"/>
  <hyperlinks>
    <hyperlink ref="R7" r:id="rId1" xr:uid="{3E7BAB10-943F-463B-BD90-3D50E8D797B4}"/>
    <hyperlink ref="R9" r:id="rId2" xr:uid="{756B40F8-3D14-44CB-A5E4-4F13671DB616}"/>
    <hyperlink ref="R10" r:id="rId3" xr:uid="{B21CC7E9-B2AD-49DF-BCB8-43369C2632EA}"/>
    <hyperlink ref="R11" r:id="rId4" xr:uid="{887C1628-0EF7-430B-AB98-C8A12F9689F4}"/>
    <hyperlink ref="R12" r:id="rId5" xr:uid="{A3F8B99B-859D-4FA3-B647-9B37624CB894}"/>
    <hyperlink ref="R15" r:id="rId6" xr:uid="{F1C33043-686B-4A03-A90A-D95D0E476707}"/>
    <hyperlink ref="R8" r:id="rId7" xr:uid="{0F296B38-2E6B-437D-91DE-0556FFE5634A}"/>
  </hyperlinks>
  <pageMargins left="0.511811024" right="0.511811024" top="0.78740157499999996" bottom="0.78740157499999996" header="0.31496062000000002" footer="0.31496062000000002"/>
  <pageSetup paperSize="9" orientation="portrait" r:id="rId8"/>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6A4254-76C6-4624-82A3-7A6063C44751}">
  <dimension ref="A1:L408"/>
  <sheetViews>
    <sheetView topLeftCell="A18" zoomScaleNormal="100" workbookViewId="0">
      <selection activeCell="E6" sqref="E6"/>
    </sheetView>
  </sheetViews>
  <sheetFormatPr defaultColWidth="25.7109375" defaultRowHeight="12" x14ac:dyDescent="0.2"/>
  <cols>
    <col min="1" max="1" width="5.85546875" style="8" customWidth="1"/>
    <col min="2" max="2" width="8.5703125" style="75" customWidth="1"/>
    <col min="3" max="3" width="67.28515625" style="8" bestFit="1" customWidth="1"/>
    <col min="4" max="4" width="5.85546875" style="8" bestFit="1" customWidth="1"/>
    <col min="5" max="5" width="8.7109375" style="8" bestFit="1" customWidth="1"/>
    <col min="6" max="6" width="7.42578125" style="8" bestFit="1" customWidth="1"/>
    <col min="7" max="7" width="21.28515625" style="8" customWidth="1"/>
    <col min="8" max="8" width="14.85546875" style="8" bestFit="1" customWidth="1"/>
    <col min="9" max="9" width="14.5703125" style="8" customWidth="1"/>
    <col min="10" max="10" width="65.85546875" style="8" bestFit="1" customWidth="1"/>
    <col min="11" max="11" width="10" style="8" bestFit="1" customWidth="1"/>
    <col min="12" max="16384" width="25.7109375" style="8"/>
  </cols>
  <sheetData>
    <row r="1" spans="1:11" x14ac:dyDescent="0.2">
      <c r="A1" s="389" t="str">
        <f>CAPEX!$A$30</f>
        <v>6.</v>
      </c>
      <c r="B1" s="390"/>
      <c r="C1" s="389" t="str">
        <f>CAPEX!$B$30</f>
        <v>PROGRAMAS SOCIOAMBIENTAIS</v>
      </c>
      <c r="D1" s="390"/>
      <c r="E1" s="390"/>
      <c r="F1" s="390"/>
      <c r="G1" s="390"/>
      <c r="H1" s="391"/>
    </row>
    <row r="2" spans="1:11" x14ac:dyDescent="0.2">
      <c r="A2" s="143"/>
      <c r="B2" s="144"/>
      <c r="C2" s="143"/>
      <c r="D2" s="144"/>
      <c r="E2" s="144"/>
      <c r="F2" s="144"/>
      <c r="G2" s="144"/>
      <c r="H2" s="144"/>
    </row>
    <row r="3" spans="1:11" x14ac:dyDescent="0.2">
      <c r="A3" s="48" t="str">
        <f>CAPEX!$A$31</f>
        <v>6.1</v>
      </c>
      <c r="B3" s="77"/>
      <c r="C3" s="349" t="str">
        <f>CAPEX!$B$31</f>
        <v xml:space="preserve">Programa de Detalhamento do Projeto para Atender a Condicionantes
Urbanoambientais </v>
      </c>
      <c r="D3" s="350"/>
      <c r="E3" s="350"/>
      <c r="F3" s="350"/>
      <c r="G3" s="388"/>
      <c r="H3" s="145">
        <f>H15</f>
        <v>207045.40000000002</v>
      </c>
      <c r="J3" s="73" t="s">
        <v>104</v>
      </c>
      <c r="K3" s="73" t="s">
        <v>105</v>
      </c>
    </row>
    <row r="4" spans="1:11" ht="12.75" customHeight="1" x14ac:dyDescent="0.2">
      <c r="C4" s="45" t="s">
        <v>109</v>
      </c>
      <c r="D4" s="45" t="s">
        <v>28</v>
      </c>
      <c r="E4" s="45" t="s">
        <v>110</v>
      </c>
      <c r="F4" s="45" t="s">
        <v>111</v>
      </c>
      <c r="G4" s="45" t="s">
        <v>112</v>
      </c>
      <c r="H4" s="78" t="s">
        <v>113</v>
      </c>
      <c r="J4" s="42" t="s">
        <v>389</v>
      </c>
      <c r="K4" s="146">
        <v>0</v>
      </c>
    </row>
    <row r="5" spans="1:11" x14ac:dyDescent="0.2">
      <c r="C5" s="351" t="s">
        <v>115</v>
      </c>
      <c r="D5" s="352"/>
      <c r="E5" s="352"/>
      <c r="F5" s="352"/>
      <c r="G5" s="352"/>
      <c r="H5" s="353"/>
      <c r="J5" s="42" t="s">
        <v>390</v>
      </c>
      <c r="K5" s="146">
        <v>0</v>
      </c>
    </row>
    <row r="6" spans="1:11" x14ac:dyDescent="0.2">
      <c r="A6" s="88"/>
      <c r="B6" s="80" t="s">
        <v>123</v>
      </c>
      <c r="C6" s="81" t="s">
        <v>884</v>
      </c>
      <c r="D6" s="82">
        <v>2</v>
      </c>
      <c r="E6" s="82">
        <f>($K$150)/4</f>
        <v>44</v>
      </c>
      <c r="F6" s="82" t="s">
        <v>118</v>
      </c>
      <c r="G6" s="83">
        <f>INDEX('TPU MAR-24'!$D$9:$D$999,MATCH(B6,'TPU MAR-24'!$A$9:$A$999,0))</f>
        <v>268.08</v>
      </c>
      <c r="H6" s="83">
        <f t="shared" ref="H6:H8" si="0">D6*E6*G6</f>
        <v>23591.039999999997</v>
      </c>
      <c r="J6" s="42" t="s">
        <v>890</v>
      </c>
      <c r="K6" s="146">
        <v>2</v>
      </c>
    </row>
    <row r="7" spans="1:11" x14ac:dyDescent="0.2">
      <c r="A7" s="88"/>
      <c r="B7" s="80" t="s">
        <v>123</v>
      </c>
      <c r="C7" s="81" t="s">
        <v>885</v>
      </c>
      <c r="D7" s="82">
        <f>IF(AND($K$11&gt;0,$K$11&lt;=70),1,IF(AND($K$11&gt;70,$K$11&lt;=150),1,IF(AND($K$11&gt;150),1)))</f>
        <v>1</v>
      </c>
      <c r="E7" s="82">
        <f>($K$150)/4</f>
        <v>44</v>
      </c>
      <c r="F7" s="82" t="s">
        <v>118</v>
      </c>
      <c r="G7" s="83">
        <f>INDEX('TPU MAR-24'!$D$9:$D$999,MATCH(B7,'TPU MAR-24'!$A$9:$A$999,0))</f>
        <v>268.08</v>
      </c>
      <c r="H7" s="83">
        <f t="shared" si="0"/>
        <v>11795.519999999999</v>
      </c>
      <c r="J7" s="42" t="s">
        <v>391</v>
      </c>
      <c r="K7" s="147">
        <f>SUM(K5,K6,K4)</f>
        <v>2</v>
      </c>
    </row>
    <row r="8" spans="1:11" x14ac:dyDescent="0.2">
      <c r="A8" s="88"/>
      <c r="B8" s="84" t="s">
        <v>143</v>
      </c>
      <c r="C8" s="81" t="s">
        <v>200</v>
      </c>
      <c r="D8" s="82">
        <f>IF(AND($K$11&gt;0,$K$11&lt;=70),1,IF(AND($K$11&gt;70,$K$11&lt;=150),1,IF(AND($K$11&gt;150),1)))</f>
        <v>1</v>
      </c>
      <c r="E8" s="82">
        <f>($K$150)/4</f>
        <v>44</v>
      </c>
      <c r="F8" s="82" t="s">
        <v>118</v>
      </c>
      <c r="G8" s="83">
        <f>INDEX('TPU MAR-24'!$D$9:$D$999,MATCH(B8,'TPU MAR-24'!$A$9:$A$999,0))</f>
        <v>94.41</v>
      </c>
      <c r="H8" s="83">
        <f t="shared" si="0"/>
        <v>4154.04</v>
      </c>
      <c r="J8" s="42" t="s">
        <v>393</v>
      </c>
      <c r="K8" s="148">
        <v>55.25</v>
      </c>
    </row>
    <row r="9" spans="1:11" x14ac:dyDescent="0.2">
      <c r="A9" s="88"/>
      <c r="B9" s="84" t="s">
        <v>146</v>
      </c>
      <c r="C9" s="81" t="s">
        <v>147</v>
      </c>
      <c r="D9" s="82">
        <f>IF(AND($K$11&gt;0,$K$11&lt;=70),1,IF(AND($K$11&gt;70,$K$11&lt;=150),1,IF(AND($K$11&gt;150),1)))</f>
        <v>1</v>
      </c>
      <c r="E9" s="82">
        <v>8</v>
      </c>
      <c r="F9" s="82" t="s">
        <v>118</v>
      </c>
      <c r="G9" s="83">
        <f>INDEX('TPU MAR-24'!$D$9:$D$999,MATCH(B9,'TPU MAR-24'!$A$9:$A$999,0))</f>
        <v>46.06</v>
      </c>
      <c r="H9" s="83">
        <f>D9*E9*G9</f>
        <v>368.48</v>
      </c>
      <c r="J9" s="42" t="s">
        <v>481</v>
      </c>
      <c r="K9" s="146">
        <v>0</v>
      </c>
    </row>
    <row r="10" spans="1:11" x14ac:dyDescent="0.2">
      <c r="C10" s="354" t="s">
        <v>179</v>
      </c>
      <c r="D10" s="355"/>
      <c r="E10" s="355"/>
      <c r="F10" s="355"/>
      <c r="G10" s="356"/>
      <c r="H10" s="89">
        <f>SUM(H6:H9)</f>
        <v>39909.08</v>
      </c>
      <c r="J10" s="42" t="s">
        <v>394</v>
      </c>
      <c r="K10" s="146">
        <v>0</v>
      </c>
    </row>
    <row r="11" spans="1:11" x14ac:dyDescent="0.2">
      <c r="C11" s="382" t="s">
        <v>158</v>
      </c>
      <c r="D11" s="383"/>
      <c r="E11" s="383"/>
      <c r="F11" s="383"/>
      <c r="G11" s="383"/>
      <c r="H11" s="384"/>
      <c r="J11" s="42" t="s">
        <v>395</v>
      </c>
      <c r="K11" s="147">
        <v>8</v>
      </c>
    </row>
    <row r="12" spans="1:11" x14ac:dyDescent="0.2">
      <c r="C12" s="81" t="s">
        <v>167</v>
      </c>
      <c r="D12" s="26">
        <v>1</v>
      </c>
      <c r="E12" s="82">
        <v>1</v>
      </c>
      <c r="F12" s="82" t="s">
        <v>168</v>
      </c>
      <c r="G12" s="93">
        <v>1500</v>
      </c>
      <c r="H12" s="83">
        <f t="shared" ref="H12" si="1">D12*E12*G12</f>
        <v>1500</v>
      </c>
      <c r="J12" s="42" t="s">
        <v>396</v>
      </c>
      <c r="K12" s="146">
        <v>10</v>
      </c>
    </row>
    <row r="13" spans="1:11" x14ac:dyDescent="0.2">
      <c r="C13" s="379" t="s">
        <v>179</v>
      </c>
      <c r="D13" s="380"/>
      <c r="E13" s="380"/>
      <c r="F13" s="380"/>
      <c r="G13" s="381"/>
      <c r="H13" s="97">
        <f>SUM(H12:H12)</f>
        <v>1500</v>
      </c>
      <c r="J13" s="42"/>
      <c r="K13" s="146">
        <v>0</v>
      </c>
    </row>
    <row r="14" spans="1:11" x14ac:dyDescent="0.2">
      <c r="C14" s="354" t="s">
        <v>219</v>
      </c>
      <c r="D14" s="355"/>
      <c r="E14" s="355"/>
      <c r="F14" s="355"/>
      <c r="G14" s="356"/>
      <c r="H14" s="89">
        <f>H10+H13</f>
        <v>41409.08</v>
      </c>
      <c r="J14" s="42"/>
      <c r="K14" s="79">
        <v>0</v>
      </c>
    </row>
    <row r="15" spans="1:11" x14ac:dyDescent="0.2">
      <c r="C15" s="354" t="s">
        <v>267</v>
      </c>
      <c r="D15" s="355"/>
      <c r="E15" s="355"/>
      <c r="F15" s="356"/>
      <c r="G15" s="102">
        <f>$K$133</f>
        <v>5</v>
      </c>
      <c r="H15" s="89">
        <f>H14*G15</f>
        <v>207045.40000000002</v>
      </c>
      <c r="J15" s="42" t="s">
        <v>399</v>
      </c>
      <c r="K15" s="149">
        <f>SUM(K12:K14)</f>
        <v>10</v>
      </c>
    </row>
    <row r="16" spans="1:11" x14ac:dyDescent="0.2">
      <c r="A16" s="143"/>
      <c r="B16" s="144"/>
      <c r="C16" s="143"/>
      <c r="D16" s="144"/>
      <c r="E16" s="144"/>
      <c r="F16" s="144"/>
      <c r="G16" s="144"/>
      <c r="H16" s="144"/>
      <c r="J16" s="42" t="s">
        <v>400</v>
      </c>
      <c r="K16" s="150">
        <v>100</v>
      </c>
    </row>
    <row r="17" spans="1:12" x14ac:dyDescent="0.2">
      <c r="A17" s="143"/>
      <c r="B17" s="144"/>
      <c r="C17" s="143"/>
      <c r="D17" s="144"/>
      <c r="E17" s="144"/>
      <c r="F17" s="144"/>
      <c r="G17" s="144"/>
      <c r="H17" s="144"/>
      <c r="J17" s="42" t="s">
        <v>402</v>
      </c>
      <c r="K17" s="150">
        <f>ROUNDUP($K$8/$K$16,0)</f>
        <v>1</v>
      </c>
    </row>
    <row r="18" spans="1:12" x14ac:dyDescent="0.2">
      <c r="A18" s="48" t="str">
        <f>CAPEX!$A$32</f>
        <v>6.2</v>
      </c>
      <c r="B18" s="77"/>
      <c r="C18" s="349" t="str">
        <f>CAPEX!$B$32</f>
        <v xml:space="preserve">Programa de Gestão Ambiental do Empreendimento </v>
      </c>
      <c r="D18" s="350"/>
      <c r="E18" s="350"/>
      <c r="F18" s="350"/>
      <c r="G18" s="350"/>
      <c r="H18" s="145">
        <f>H35</f>
        <v>7354083.8400000008</v>
      </c>
      <c r="J18" s="42" t="s">
        <v>833</v>
      </c>
      <c r="K18" s="42">
        <f>2*140</f>
        <v>280</v>
      </c>
    </row>
    <row r="19" spans="1:12" ht="12.75" customHeight="1" x14ac:dyDescent="0.2">
      <c r="C19" s="45" t="s">
        <v>109</v>
      </c>
      <c r="D19" s="45" t="s">
        <v>28</v>
      </c>
      <c r="E19" s="45" t="s">
        <v>110</v>
      </c>
      <c r="F19" s="45" t="s">
        <v>111</v>
      </c>
      <c r="G19" s="45" t="s">
        <v>112</v>
      </c>
      <c r="H19" s="78" t="s">
        <v>113</v>
      </c>
    </row>
    <row r="20" spans="1:12" x14ac:dyDescent="0.2">
      <c r="C20" s="351" t="s">
        <v>190</v>
      </c>
      <c r="D20" s="352"/>
      <c r="E20" s="352"/>
      <c r="F20" s="352"/>
      <c r="G20" s="352"/>
      <c r="H20" s="353"/>
      <c r="J20" s="42" t="s">
        <v>404</v>
      </c>
      <c r="K20" s="42">
        <v>200</v>
      </c>
    </row>
    <row r="21" spans="1:12" x14ac:dyDescent="0.2">
      <c r="A21" s="112"/>
      <c r="B21" s="80" t="s">
        <v>116</v>
      </c>
      <c r="C21" s="81" t="s">
        <v>117</v>
      </c>
      <c r="D21" s="82">
        <v>1</v>
      </c>
      <c r="E21" s="82">
        <f>$K$150/2</f>
        <v>88</v>
      </c>
      <c r="F21" s="82" t="s">
        <v>118</v>
      </c>
      <c r="G21" s="83">
        <f>INDEX('TPU MAR-24'!$D$9:$D$999,MATCH(B21,'TPU MAR-24'!$A$9:$A$999,0))</f>
        <v>391.54</v>
      </c>
      <c r="H21" s="83">
        <f>D21*E21*G21</f>
        <v>34455.520000000004</v>
      </c>
    </row>
    <row r="22" spans="1:12" x14ac:dyDescent="0.2">
      <c r="A22" s="88"/>
      <c r="B22" s="84" t="s">
        <v>146</v>
      </c>
      <c r="C22" s="81" t="s">
        <v>147</v>
      </c>
      <c r="D22" s="82">
        <v>1</v>
      </c>
      <c r="E22" s="82">
        <f>$K$150/2</f>
        <v>88</v>
      </c>
      <c r="F22" s="82" t="s">
        <v>118</v>
      </c>
      <c r="G22" s="83">
        <f>INDEX('TPU MAR-24'!$D$9:$D$999,MATCH(B22,'TPU MAR-24'!$A$9:$A$999,0))</f>
        <v>46.06</v>
      </c>
      <c r="H22" s="83">
        <f>D22*E22*G22</f>
        <v>4053.28</v>
      </c>
      <c r="J22" s="79" t="s">
        <v>405</v>
      </c>
      <c r="K22" s="162">
        <v>2.54</v>
      </c>
    </row>
    <row r="23" spans="1:12" x14ac:dyDescent="0.2">
      <c r="C23" s="351" t="s">
        <v>149</v>
      </c>
      <c r="D23" s="352"/>
      <c r="E23" s="352"/>
      <c r="F23" s="352"/>
      <c r="G23" s="352"/>
      <c r="H23" s="353"/>
      <c r="J23" s="42" t="s">
        <v>288</v>
      </c>
      <c r="K23" s="42">
        <v>1</v>
      </c>
      <c r="L23" s="90"/>
    </row>
    <row r="24" spans="1:12" x14ac:dyDescent="0.2">
      <c r="A24" s="88"/>
      <c r="B24" s="84" t="s">
        <v>140</v>
      </c>
      <c r="C24" s="81" t="s">
        <v>392</v>
      </c>
      <c r="D24" s="82">
        <v>2</v>
      </c>
      <c r="E24" s="82">
        <f>$K$150</f>
        <v>176</v>
      </c>
      <c r="F24" s="82" t="s">
        <v>118</v>
      </c>
      <c r="G24" s="83">
        <f>INDEX('TPU MAR-24'!$D$9:$D$999,MATCH(B24,'TPU MAR-24'!$A$9:$A$999,0))</f>
        <v>213.54</v>
      </c>
      <c r="H24" s="83">
        <f>D24*E24*G24</f>
        <v>75166.080000000002</v>
      </c>
      <c r="J24" s="42" t="s">
        <v>289</v>
      </c>
      <c r="K24" s="42">
        <v>2</v>
      </c>
    </row>
    <row r="25" spans="1:12" x14ac:dyDescent="0.2">
      <c r="C25" s="354" t="s">
        <v>179</v>
      </c>
      <c r="D25" s="355"/>
      <c r="E25" s="355"/>
      <c r="F25" s="355"/>
      <c r="G25" s="356"/>
      <c r="H25" s="89">
        <f>SUM(H21:H24)</f>
        <v>113674.88</v>
      </c>
      <c r="J25" s="42" t="s">
        <v>264</v>
      </c>
      <c r="K25" s="42">
        <v>7</v>
      </c>
    </row>
    <row r="26" spans="1:12" x14ac:dyDescent="0.2">
      <c r="C26" s="351" t="s">
        <v>158</v>
      </c>
      <c r="D26" s="352"/>
      <c r="E26" s="352"/>
      <c r="F26" s="352"/>
      <c r="G26" s="352"/>
      <c r="H26" s="353"/>
      <c r="J26" s="42" t="s">
        <v>265</v>
      </c>
      <c r="K26" s="42">
        <v>1</v>
      </c>
    </row>
    <row r="27" spans="1:12" x14ac:dyDescent="0.2">
      <c r="C27" s="81" t="s">
        <v>297</v>
      </c>
      <c r="D27" s="26">
        <v>1</v>
      </c>
      <c r="E27" s="82">
        <v>1</v>
      </c>
      <c r="F27" s="82" t="s">
        <v>168</v>
      </c>
      <c r="G27" s="83">
        <v>3000</v>
      </c>
      <c r="H27" s="83">
        <f>D27*E27*G27</f>
        <v>3000</v>
      </c>
      <c r="J27" s="42" t="s">
        <v>290</v>
      </c>
      <c r="K27" s="42">
        <v>5</v>
      </c>
    </row>
    <row r="28" spans="1:12" x14ac:dyDescent="0.2">
      <c r="C28" s="81" t="s">
        <v>397</v>
      </c>
      <c r="D28" s="26">
        <f>$D$24</f>
        <v>2</v>
      </c>
      <c r="E28" s="82">
        <v>30</v>
      </c>
      <c r="F28" s="82" t="s">
        <v>161</v>
      </c>
      <c r="G28" s="83">
        <f>'TPU MAR-24'!$C$52</f>
        <v>318.24</v>
      </c>
      <c r="H28" s="83">
        <f t="shared" ref="H28:H32" si="2">D28*E28*G28</f>
        <v>19094.400000000001</v>
      </c>
      <c r="J28" s="42" t="s">
        <v>291</v>
      </c>
      <c r="K28" s="42">
        <v>10</v>
      </c>
    </row>
    <row r="29" spans="1:12" x14ac:dyDescent="0.2">
      <c r="C29" s="81" t="s">
        <v>398</v>
      </c>
      <c r="D29" s="26">
        <f>$D$24</f>
        <v>2</v>
      </c>
      <c r="E29" s="82">
        <v>1</v>
      </c>
      <c r="F29" s="82" t="s">
        <v>321</v>
      </c>
      <c r="G29" s="93">
        <v>1800</v>
      </c>
      <c r="H29" s="83">
        <f t="shared" si="2"/>
        <v>3600</v>
      </c>
      <c r="J29" s="42" t="s">
        <v>292</v>
      </c>
      <c r="K29" s="42">
        <v>10</v>
      </c>
    </row>
    <row r="30" spans="1:12" x14ac:dyDescent="0.2">
      <c r="C30" s="81" t="s">
        <v>167</v>
      </c>
      <c r="D30" s="26">
        <v>1</v>
      </c>
      <c r="E30" s="82">
        <v>1</v>
      </c>
      <c r="F30" s="82" t="s">
        <v>168</v>
      </c>
      <c r="G30" s="83">
        <v>1500</v>
      </c>
      <c r="H30" s="83">
        <f t="shared" si="2"/>
        <v>1500</v>
      </c>
      <c r="J30" s="42" t="s">
        <v>293</v>
      </c>
      <c r="K30" s="85">
        <v>1000</v>
      </c>
    </row>
    <row r="31" spans="1:12" x14ac:dyDescent="0.2">
      <c r="C31" s="81" t="s">
        <v>170</v>
      </c>
      <c r="D31" s="26">
        <f>$D$24</f>
        <v>2</v>
      </c>
      <c r="E31" s="26">
        <v>30</v>
      </c>
      <c r="F31" s="26" t="s">
        <v>161</v>
      </c>
      <c r="G31" s="95">
        <f>'TPU MAR-24'!$D$42</f>
        <v>193.64</v>
      </c>
      <c r="H31" s="83">
        <f t="shared" si="2"/>
        <v>11618.4</v>
      </c>
      <c r="J31" s="42" t="s">
        <v>947</v>
      </c>
      <c r="K31" s="85">
        <v>23000</v>
      </c>
    </row>
    <row r="32" spans="1:12" x14ac:dyDescent="0.2">
      <c r="C32" s="81" t="s">
        <v>401</v>
      </c>
      <c r="D32" s="26">
        <f>D24</f>
        <v>2</v>
      </c>
      <c r="E32" s="151">
        <f>$K$18</f>
        <v>280</v>
      </c>
      <c r="F32" s="26" t="s">
        <v>173</v>
      </c>
      <c r="G32" s="95">
        <f>'TPU MAR-24'!$D$40</f>
        <v>1.29</v>
      </c>
      <c r="H32" s="83">
        <f t="shared" si="2"/>
        <v>722.4</v>
      </c>
      <c r="J32" s="42" t="s">
        <v>295</v>
      </c>
      <c r="K32" s="85">
        <v>2200</v>
      </c>
    </row>
    <row r="33" spans="1:11" x14ac:dyDescent="0.2">
      <c r="C33" s="354" t="s">
        <v>179</v>
      </c>
      <c r="D33" s="355"/>
      <c r="E33" s="355"/>
      <c r="F33" s="355"/>
      <c r="G33" s="356"/>
      <c r="H33" s="97">
        <f>SUM(H27:H32)</f>
        <v>39535.200000000004</v>
      </c>
      <c r="J33" s="42" t="s">
        <v>296</v>
      </c>
      <c r="K33" s="85">
        <v>5000</v>
      </c>
    </row>
    <row r="34" spans="1:11" ht="12.75" customHeight="1" x14ac:dyDescent="0.2">
      <c r="C34" s="354" t="s">
        <v>403</v>
      </c>
      <c r="D34" s="355"/>
      <c r="E34" s="355"/>
      <c r="F34" s="355"/>
      <c r="G34" s="356"/>
      <c r="H34" s="89">
        <f>H25+H33</f>
        <v>153210.08000000002</v>
      </c>
      <c r="J34" s="42" t="s">
        <v>139</v>
      </c>
      <c r="K34" s="85">
        <v>60</v>
      </c>
    </row>
    <row r="35" spans="1:11" x14ac:dyDescent="0.2">
      <c r="A35" s="132"/>
      <c r="B35" s="133"/>
      <c r="C35" s="357" t="s">
        <v>267</v>
      </c>
      <c r="D35" s="357"/>
      <c r="E35" s="357"/>
      <c r="F35" s="357"/>
      <c r="G35" s="102">
        <f>$K$129</f>
        <v>48</v>
      </c>
      <c r="H35" s="97">
        <f>(H34)*(G35)</f>
        <v>7354083.8400000008</v>
      </c>
      <c r="J35" s="42" t="s">
        <v>142</v>
      </c>
      <c r="K35" s="85">
        <v>1200</v>
      </c>
    </row>
    <row r="36" spans="1:11" x14ac:dyDescent="0.2">
      <c r="C36" s="116"/>
      <c r="D36" s="116"/>
      <c r="E36" s="116"/>
      <c r="F36" s="116"/>
      <c r="G36" s="122"/>
      <c r="H36" s="117"/>
      <c r="J36" s="42" t="s">
        <v>145</v>
      </c>
      <c r="K36" s="85">
        <v>4000</v>
      </c>
    </row>
    <row r="37" spans="1:11" x14ac:dyDescent="0.2">
      <c r="C37" s="116"/>
      <c r="D37" s="116"/>
      <c r="E37" s="116"/>
      <c r="F37" s="116"/>
      <c r="G37" s="122"/>
      <c r="H37" s="117"/>
      <c r="J37" s="42" t="s">
        <v>944</v>
      </c>
      <c r="K37" s="85">
        <f>3+3</f>
        <v>6</v>
      </c>
    </row>
    <row r="38" spans="1:11" x14ac:dyDescent="0.2">
      <c r="A38" s="48" t="str">
        <f>CAPEX!$A$34</f>
        <v>6.4</v>
      </c>
      <c r="B38" s="77"/>
      <c r="C38" s="349" t="str">
        <f>CAPEX!$B$34</f>
        <v xml:space="preserve">Plano de Controle Ambiental da Construção – PCA - Treinamento e capacitação ambiental da mão de obra </v>
      </c>
      <c r="D38" s="350"/>
      <c r="E38" s="350"/>
      <c r="F38" s="350"/>
      <c r="G38" s="350"/>
      <c r="H38" s="145">
        <f>H58</f>
        <v>147746.88</v>
      </c>
      <c r="J38" s="42" t="s">
        <v>946</v>
      </c>
      <c r="K38" s="85">
        <v>2</v>
      </c>
    </row>
    <row r="39" spans="1:11" ht="24" x14ac:dyDescent="0.2">
      <c r="C39" s="45" t="s">
        <v>109</v>
      </c>
      <c r="D39" s="45" t="s">
        <v>28</v>
      </c>
      <c r="E39" s="45" t="s">
        <v>110</v>
      </c>
      <c r="F39" s="45" t="s">
        <v>111</v>
      </c>
      <c r="G39" s="45" t="s">
        <v>112</v>
      </c>
      <c r="H39" s="78" t="s">
        <v>113</v>
      </c>
      <c r="J39" s="42" t="s">
        <v>945</v>
      </c>
      <c r="K39" s="85">
        <v>1</v>
      </c>
    </row>
    <row r="40" spans="1:11" x14ac:dyDescent="0.2">
      <c r="C40" s="351" t="s">
        <v>115</v>
      </c>
      <c r="D40" s="352"/>
      <c r="E40" s="352"/>
      <c r="F40" s="352"/>
      <c r="G40" s="352"/>
      <c r="H40" s="353"/>
      <c r="J40" s="42" t="s">
        <v>1037</v>
      </c>
      <c r="K40" s="98">
        <v>3</v>
      </c>
    </row>
    <row r="41" spans="1:11" x14ac:dyDescent="0.2">
      <c r="A41" s="112"/>
      <c r="B41" s="80" t="s">
        <v>128</v>
      </c>
      <c r="C41" s="81" t="s">
        <v>239</v>
      </c>
      <c r="D41" s="82">
        <f>IF(AND($K$11&gt;0,$K$11&lt;=70),1,IF(AND($K$11&gt;70,$K$11&lt;=150),1,IF(AND($K$11&gt;150),1)))</f>
        <v>1</v>
      </c>
      <c r="E41" s="82">
        <f>(($K$7*$K$64)/2)*$K$145</f>
        <v>8</v>
      </c>
      <c r="F41" s="82" t="s">
        <v>118</v>
      </c>
      <c r="G41" s="83">
        <f>INDEX('TPU MAR-24'!$D$9:$D$999,MATCH(B41,'TPU MAR-24'!$A$9:$A$999,0))</f>
        <v>263.36</v>
      </c>
      <c r="H41" s="83">
        <f t="shared" ref="H41:H44" si="3">D41*E41*G41</f>
        <v>2106.88</v>
      </c>
      <c r="I41" s="108"/>
      <c r="K41" s="152"/>
    </row>
    <row r="42" spans="1:11" x14ac:dyDescent="0.2">
      <c r="A42" s="112"/>
      <c r="B42" s="84" t="str">
        <f>'TPU MAR-24'!$A$17</f>
        <v>35.03.72</v>
      </c>
      <c r="C42" s="81" t="s">
        <v>246</v>
      </c>
      <c r="D42" s="82">
        <f>IF(AND($K$11&gt;0,$K$11&lt;=70),1,IF(AND($K$11&gt;70,$K$11&lt;=150),1,IF(AND($K$11&gt;150),1)))</f>
        <v>1</v>
      </c>
      <c r="E42" s="82">
        <f>$K$7*$K$64*$K$145</f>
        <v>16</v>
      </c>
      <c r="F42" s="82" t="s">
        <v>118</v>
      </c>
      <c r="G42" s="83">
        <f>INDEX('TPU MAR-24'!$D$9:$D$999,MATCH(B42,'TPU MAR-24'!$A$9:$A$999,0))</f>
        <v>81.7</v>
      </c>
      <c r="H42" s="83">
        <f t="shared" si="3"/>
        <v>1307.2</v>
      </c>
      <c r="K42" s="152"/>
    </row>
    <row r="43" spans="1:11" ht="12.75" customHeight="1" x14ac:dyDescent="0.2">
      <c r="A43" s="112"/>
      <c r="B43" s="84" t="str">
        <f>'TPU MAR-24'!$A$17</f>
        <v>35.03.72</v>
      </c>
      <c r="C43" s="81" t="s">
        <v>247</v>
      </c>
      <c r="D43" s="82">
        <f>IF(AND($K$11&gt;0,$K$11&lt;=70),1,IF(AND($K$11&gt;70,$K$11&lt;=150),1,IF(AND($K$11&gt;150),1)))</f>
        <v>1</v>
      </c>
      <c r="E43" s="82">
        <f>($K$7*$K$64*$K$145)/2</f>
        <v>8</v>
      </c>
      <c r="F43" s="82" t="s">
        <v>118</v>
      </c>
      <c r="G43" s="83">
        <f>INDEX('TPU MAR-24'!$D$9:$D$999,MATCH(B43,'TPU MAR-24'!$A$9:$A$999,0))</f>
        <v>81.7</v>
      </c>
      <c r="H43" s="83">
        <f t="shared" si="3"/>
        <v>653.6</v>
      </c>
      <c r="J43" s="42" t="s">
        <v>406</v>
      </c>
      <c r="K43" s="98">
        <v>600</v>
      </c>
    </row>
    <row r="44" spans="1:11" ht="12.75" customHeight="1" x14ac:dyDescent="0.2">
      <c r="A44" s="88"/>
      <c r="B44" s="84" t="s">
        <v>146</v>
      </c>
      <c r="C44" s="81" t="s">
        <v>147</v>
      </c>
      <c r="D44" s="82">
        <f>IF(AND($K$11&gt;0,$K$11&lt;=70),1,IF(AND($K$11&gt;70,$K$11&lt;=150),1,IF(AND($K$11&gt;150),1)))</f>
        <v>1</v>
      </c>
      <c r="E44" s="82">
        <f>(($K$7*$K$64)/2)*$K$145</f>
        <v>8</v>
      </c>
      <c r="F44" s="82" t="s">
        <v>118</v>
      </c>
      <c r="G44" s="83">
        <f>INDEX('TPU MAR-24'!$D$9:$D$999,MATCH(B44,'TPU MAR-24'!$A$9:$A$999,0))</f>
        <v>46.06</v>
      </c>
      <c r="H44" s="83">
        <f t="shared" si="3"/>
        <v>368.48</v>
      </c>
      <c r="J44" s="42" t="s">
        <v>139</v>
      </c>
      <c r="K44" s="98">
        <v>60</v>
      </c>
    </row>
    <row r="45" spans="1:11" x14ac:dyDescent="0.2">
      <c r="C45" s="351" t="s">
        <v>149</v>
      </c>
      <c r="D45" s="352"/>
      <c r="E45" s="352"/>
      <c r="F45" s="352"/>
      <c r="G45" s="352"/>
      <c r="H45" s="353"/>
      <c r="J45" s="42" t="s">
        <v>142</v>
      </c>
      <c r="K45" s="98">
        <v>1200</v>
      </c>
    </row>
    <row r="46" spans="1:11" x14ac:dyDescent="0.2">
      <c r="A46" s="112"/>
      <c r="B46" s="84" t="str">
        <f>'TPU MAR-24'!$A$17</f>
        <v>35.03.72</v>
      </c>
      <c r="C46" s="81" t="s">
        <v>246</v>
      </c>
      <c r="D46" s="26">
        <v>1</v>
      </c>
      <c r="E46" s="82">
        <f>($K$7*$K$65*$K$146)+($K$149*$K$146)</f>
        <v>30</v>
      </c>
      <c r="F46" s="82" t="s">
        <v>118</v>
      </c>
      <c r="G46" s="83">
        <f>INDEX('TPU MAR-24'!$D$9:$D$999,MATCH(B46,'TPU MAR-24'!$A$9:$A$999,0))</f>
        <v>81.7</v>
      </c>
      <c r="H46" s="83">
        <f>D46*E46*G46</f>
        <v>2451</v>
      </c>
    </row>
    <row r="47" spans="1:11" x14ac:dyDescent="0.2">
      <c r="A47" s="88"/>
      <c r="B47" s="84" t="s">
        <v>153</v>
      </c>
      <c r="C47" s="81" t="s">
        <v>154</v>
      </c>
      <c r="D47" s="26">
        <v>1</v>
      </c>
      <c r="E47" s="82">
        <f>($K$7*$K$65*$K$146)</f>
        <v>20</v>
      </c>
      <c r="F47" s="82" t="s">
        <v>118</v>
      </c>
      <c r="G47" s="83">
        <f>INDEX('TPU MAR-24'!$D$9:$D$999,MATCH(B47,'TPU MAR-24'!$A$9:$A$999,0))</f>
        <v>25.5</v>
      </c>
      <c r="H47" s="83">
        <f>D47*E47*G47</f>
        <v>510</v>
      </c>
      <c r="J47" s="42" t="s">
        <v>407</v>
      </c>
      <c r="K47" s="98">
        <v>600</v>
      </c>
    </row>
    <row r="48" spans="1:11" x14ac:dyDescent="0.2">
      <c r="C48" s="354" t="s">
        <v>179</v>
      </c>
      <c r="D48" s="355"/>
      <c r="E48" s="355"/>
      <c r="F48" s="355"/>
      <c r="G48" s="356"/>
      <c r="H48" s="89">
        <f>SUM(H41:H47)</f>
        <v>7397.16</v>
      </c>
      <c r="J48" s="42" t="s">
        <v>408</v>
      </c>
      <c r="K48" s="42">
        <v>1</v>
      </c>
    </row>
    <row r="49" spans="1:11" x14ac:dyDescent="0.2">
      <c r="C49" s="351" t="s">
        <v>158</v>
      </c>
      <c r="D49" s="352"/>
      <c r="E49" s="352"/>
      <c r="F49" s="352"/>
      <c r="G49" s="352"/>
      <c r="H49" s="353"/>
      <c r="J49" s="42" t="s">
        <v>409</v>
      </c>
      <c r="K49" s="42">
        <v>1</v>
      </c>
    </row>
    <row r="50" spans="1:11" x14ac:dyDescent="0.2">
      <c r="C50" s="81" t="s">
        <v>248</v>
      </c>
      <c r="D50" s="26">
        <f>D46</f>
        <v>1</v>
      </c>
      <c r="E50" s="82">
        <f>($K$7*$K$65)+($K$149)</f>
        <v>3</v>
      </c>
      <c r="F50" s="82" t="s">
        <v>161</v>
      </c>
      <c r="G50" s="83">
        <f>'TPU MAR-24'!$C$52</f>
        <v>318.24</v>
      </c>
      <c r="H50" s="83">
        <f t="shared" ref="H50:H51" si="4">D50*E50*G50</f>
        <v>954.72</v>
      </c>
      <c r="J50" s="42" t="s">
        <v>410</v>
      </c>
      <c r="K50" s="42">
        <v>1</v>
      </c>
    </row>
    <row r="51" spans="1:11" x14ac:dyDescent="0.2">
      <c r="C51" s="81" t="s">
        <v>165</v>
      </c>
      <c r="D51" s="26">
        <f>D47</f>
        <v>1</v>
      </c>
      <c r="E51" s="82">
        <f>($K$7*$K$65)</f>
        <v>2</v>
      </c>
      <c r="F51" s="82" t="s">
        <v>161</v>
      </c>
      <c r="G51" s="83">
        <f>'TPU MAR-24'!$C$53</f>
        <v>159.12</v>
      </c>
      <c r="H51" s="83">
        <f t="shared" si="4"/>
        <v>318.24</v>
      </c>
      <c r="J51" s="42" t="s">
        <v>411</v>
      </c>
      <c r="K51" s="42">
        <v>1</v>
      </c>
    </row>
    <row r="52" spans="1:11" x14ac:dyDescent="0.2">
      <c r="C52" s="81" t="s">
        <v>249</v>
      </c>
      <c r="D52" s="26">
        <f>$K$7</f>
        <v>2</v>
      </c>
      <c r="E52" s="82">
        <v>1</v>
      </c>
      <c r="F52" s="82" t="s">
        <v>168</v>
      </c>
      <c r="G52" s="83">
        <f>$K$68</f>
        <v>600</v>
      </c>
      <c r="H52" s="83">
        <f>D52*E52*G52</f>
        <v>1200</v>
      </c>
      <c r="J52" s="42" t="s">
        <v>412</v>
      </c>
      <c r="K52" s="42">
        <v>1</v>
      </c>
    </row>
    <row r="53" spans="1:11" x14ac:dyDescent="0.2">
      <c r="C53" s="81" t="s">
        <v>167</v>
      </c>
      <c r="D53" s="26">
        <v>1</v>
      </c>
      <c r="E53" s="82">
        <v>1</v>
      </c>
      <c r="F53" s="82" t="s">
        <v>168</v>
      </c>
      <c r="G53" s="93">
        <v>1500</v>
      </c>
      <c r="H53" s="83">
        <f>D53*E53*G53</f>
        <v>1500</v>
      </c>
      <c r="J53" s="42" t="s">
        <v>413</v>
      </c>
      <c r="K53" s="42">
        <v>1</v>
      </c>
    </row>
    <row r="54" spans="1:11" x14ac:dyDescent="0.2">
      <c r="C54" s="81" t="s">
        <v>170</v>
      </c>
      <c r="D54" s="26">
        <f>D46</f>
        <v>1</v>
      </c>
      <c r="E54" s="82">
        <f>($K$7*$K$65)+($K$149)</f>
        <v>3</v>
      </c>
      <c r="F54" s="26" t="s">
        <v>161</v>
      </c>
      <c r="G54" s="95">
        <f>'TPU MAR-24'!$D$42</f>
        <v>193.64</v>
      </c>
      <c r="H54" s="83">
        <f>D54*E54*G54</f>
        <v>580.91999999999996</v>
      </c>
      <c r="J54" s="42" t="s">
        <v>414</v>
      </c>
      <c r="K54" s="101">
        <v>3800</v>
      </c>
    </row>
    <row r="55" spans="1:11" x14ac:dyDescent="0.2">
      <c r="C55" s="81" t="s">
        <v>401</v>
      </c>
      <c r="D55" s="26">
        <f>D47</f>
        <v>1</v>
      </c>
      <c r="E55" s="151">
        <f>$K$18</f>
        <v>280</v>
      </c>
      <c r="F55" s="26" t="s">
        <v>173</v>
      </c>
      <c r="G55" s="95">
        <f>'TPU MAR-24'!$D$40</f>
        <v>1.29</v>
      </c>
      <c r="H55" s="83">
        <f t="shared" ref="H55" si="5">D55*E55*G55</f>
        <v>361.2</v>
      </c>
      <c r="J55" s="42" t="s">
        <v>415</v>
      </c>
      <c r="K55" s="42">
        <v>36</v>
      </c>
    </row>
    <row r="56" spans="1:11" x14ac:dyDescent="0.2">
      <c r="C56" s="354" t="s">
        <v>179</v>
      </c>
      <c r="D56" s="355"/>
      <c r="E56" s="355"/>
      <c r="F56" s="355"/>
      <c r="G56" s="356"/>
      <c r="H56" s="97">
        <f>SUM(H50:H55)</f>
        <v>4915.08</v>
      </c>
    </row>
    <row r="57" spans="1:11" x14ac:dyDescent="0.2">
      <c r="C57" s="354" t="s">
        <v>219</v>
      </c>
      <c r="D57" s="355"/>
      <c r="E57" s="355"/>
      <c r="F57" s="355"/>
      <c r="G57" s="356"/>
      <c r="H57" s="89">
        <f>H48+H56</f>
        <v>12312.24</v>
      </c>
      <c r="J57" s="42" t="s">
        <v>416</v>
      </c>
      <c r="K57" s="42">
        <f>ROUNDUP(($K15/($K$127/$K$126)),0)</f>
        <v>4</v>
      </c>
    </row>
    <row r="58" spans="1:11" x14ac:dyDescent="0.2">
      <c r="C58" s="357" t="s">
        <v>267</v>
      </c>
      <c r="D58" s="357"/>
      <c r="E58" s="357"/>
      <c r="F58" s="357"/>
      <c r="G58" s="102">
        <f>$K$129/$K$126</f>
        <v>12</v>
      </c>
      <c r="H58" s="89">
        <f>H57*G58</f>
        <v>147746.88</v>
      </c>
      <c r="J58" s="42" t="s">
        <v>417</v>
      </c>
      <c r="K58" s="42">
        <v>20</v>
      </c>
    </row>
    <row r="59" spans="1:11" x14ac:dyDescent="0.2">
      <c r="C59" s="116"/>
      <c r="D59" s="116"/>
      <c r="E59" s="116"/>
      <c r="F59" s="116"/>
      <c r="G59" s="122"/>
      <c r="H59" s="117"/>
      <c r="J59" s="42" t="s">
        <v>157</v>
      </c>
      <c r="K59" s="42">
        <v>1</v>
      </c>
    </row>
    <row r="60" spans="1:11" ht="12" customHeight="1" x14ac:dyDescent="0.2">
      <c r="C60" s="116"/>
      <c r="D60" s="116"/>
      <c r="E60" s="116"/>
      <c r="F60" s="116"/>
      <c r="G60" s="122"/>
      <c r="H60" s="117"/>
      <c r="J60" s="42" t="s">
        <v>159</v>
      </c>
      <c r="K60" s="42">
        <v>1</v>
      </c>
    </row>
    <row r="61" spans="1:11" x14ac:dyDescent="0.2">
      <c r="A61" s="48" t="str">
        <f>CAPEX!$A$35</f>
        <v>6.5</v>
      </c>
      <c r="B61" s="77"/>
      <c r="C61" s="349" t="str">
        <f>CAPEX!$B$35</f>
        <v>Plano de Controle Ambiental da Construção – PCA - Controle de emissõe atmosféricas</v>
      </c>
      <c r="D61" s="350"/>
      <c r="E61" s="350"/>
      <c r="F61" s="350"/>
      <c r="G61" s="350"/>
      <c r="H61" s="145">
        <f>H81</f>
        <v>343402.8</v>
      </c>
      <c r="J61" s="42" t="s">
        <v>164</v>
      </c>
      <c r="K61" s="42">
        <v>2</v>
      </c>
    </row>
    <row r="62" spans="1:11" ht="24" x14ac:dyDescent="0.2">
      <c r="C62" s="45" t="s">
        <v>109</v>
      </c>
      <c r="D62" s="45" t="s">
        <v>28</v>
      </c>
      <c r="E62" s="45" t="s">
        <v>110</v>
      </c>
      <c r="F62" s="45" t="s">
        <v>111</v>
      </c>
      <c r="G62" s="45" t="s">
        <v>112</v>
      </c>
      <c r="H62" s="78" t="s">
        <v>113</v>
      </c>
      <c r="J62" s="42" t="s">
        <v>166</v>
      </c>
      <c r="K62" s="42">
        <v>2</v>
      </c>
    </row>
    <row r="63" spans="1:11" x14ac:dyDescent="0.2">
      <c r="C63" s="351" t="s">
        <v>190</v>
      </c>
      <c r="D63" s="352"/>
      <c r="E63" s="352"/>
      <c r="F63" s="352"/>
      <c r="G63" s="352"/>
      <c r="H63" s="353"/>
      <c r="J63" s="42" t="s">
        <v>169</v>
      </c>
      <c r="K63" s="42">
        <v>2</v>
      </c>
    </row>
    <row r="64" spans="1:11" x14ac:dyDescent="0.2">
      <c r="A64" s="112"/>
      <c r="B64" s="80" t="s">
        <v>123</v>
      </c>
      <c r="C64" s="81" t="s">
        <v>229</v>
      </c>
      <c r="D64" s="82">
        <f>IF(AND($K$11&gt;0,$K$11&lt;=70),1,IF(AND($K$11&gt;70,$K$11&lt;=150),1,IF(AND($K$11&gt;150),1)))</f>
        <v>1</v>
      </c>
      <c r="E64" s="82">
        <f>($K$100*$K$102*$K$145)/2</f>
        <v>8</v>
      </c>
      <c r="F64" s="82" t="s">
        <v>118</v>
      </c>
      <c r="G64" s="83">
        <f>INDEX('TPU MAR-24'!$D$9:$D$999,MATCH(B64,'TPU MAR-24'!$A$9:$A$999,0))</f>
        <v>268.08</v>
      </c>
      <c r="H64" s="83">
        <f>D64*E64*G64</f>
        <v>2144.64</v>
      </c>
      <c r="J64" s="42" t="s">
        <v>171</v>
      </c>
      <c r="K64" s="42">
        <v>1</v>
      </c>
    </row>
    <row r="65" spans="1:11" x14ac:dyDescent="0.2">
      <c r="A65" s="88"/>
      <c r="B65" s="84" t="s">
        <v>140</v>
      </c>
      <c r="C65" s="81" t="s">
        <v>221</v>
      </c>
      <c r="D65" s="82">
        <f>IF(AND($K$11&gt;0,$K$11&lt;=70),1,IF(AND($K$11&gt;70,$K$11&lt;=150),1,IF(AND($K$11&gt;150),1)))</f>
        <v>1</v>
      </c>
      <c r="E65" s="82">
        <f>($K$100*$K$102*$K$145)</f>
        <v>16</v>
      </c>
      <c r="F65" s="82" t="s">
        <v>118</v>
      </c>
      <c r="G65" s="83">
        <f>INDEX('TPU MAR-24'!$D$9:$D$999,MATCH(B65,'TPU MAR-24'!$A$9:$A$999,0))</f>
        <v>213.54</v>
      </c>
      <c r="H65" s="83">
        <f t="shared" ref="H65:H67" si="6">D65*E65*G65</f>
        <v>3416.64</v>
      </c>
      <c r="J65" s="42" t="s">
        <v>174</v>
      </c>
      <c r="K65" s="42">
        <v>1</v>
      </c>
    </row>
    <row r="66" spans="1:11" x14ac:dyDescent="0.2">
      <c r="A66" s="88"/>
      <c r="B66" s="84" t="s">
        <v>143</v>
      </c>
      <c r="C66" s="81" t="s">
        <v>200</v>
      </c>
      <c r="D66" s="82">
        <f>IF(AND($K$11&gt;0,$K$11&lt;=70),1,IF(AND($K$11&gt;70,$K$11&lt;=150),1,IF(AND($K$11&gt;150),1)))</f>
        <v>1</v>
      </c>
      <c r="E66" s="82">
        <f>($K$100*$K$102*$K$145)/8</f>
        <v>2</v>
      </c>
      <c r="F66" s="82" t="s">
        <v>118</v>
      </c>
      <c r="G66" s="83">
        <f>INDEX('TPU MAR-24'!$D$9:$D$999,MATCH(B66,'TPU MAR-24'!$A$9:$A$999,0))</f>
        <v>94.41</v>
      </c>
      <c r="H66" s="83">
        <f t="shared" si="6"/>
        <v>188.82</v>
      </c>
      <c r="J66" s="42" t="s">
        <v>176</v>
      </c>
      <c r="K66" s="98">
        <v>1300</v>
      </c>
    </row>
    <row r="67" spans="1:11" ht="12.75" customHeight="1" x14ac:dyDescent="0.2">
      <c r="A67" s="88"/>
      <c r="B67" s="84" t="s">
        <v>146</v>
      </c>
      <c r="C67" s="81" t="s">
        <v>147</v>
      </c>
      <c r="D67" s="82">
        <f>IF(AND($K$11&gt;0,$K$11&lt;=70),1,IF(AND($K$11&gt;70,$K$11&lt;=150),1,IF(AND($K$11&gt;150),1)))</f>
        <v>1</v>
      </c>
      <c r="E67" s="82">
        <f>($K$100*$K$102*$K$145)/8</f>
        <v>2</v>
      </c>
      <c r="F67" s="82" t="s">
        <v>118</v>
      </c>
      <c r="G67" s="83">
        <f>INDEX('TPU MAR-24'!$D$9:$D$999,MATCH(B67,'TPU MAR-24'!$A$9:$A$999,0))</f>
        <v>46.06</v>
      </c>
      <c r="H67" s="83">
        <f t="shared" si="6"/>
        <v>92.12</v>
      </c>
      <c r="J67" s="42" t="s">
        <v>178</v>
      </c>
      <c r="K67" s="98">
        <v>1800</v>
      </c>
    </row>
    <row r="68" spans="1:11" x14ac:dyDescent="0.2">
      <c r="C68" s="351" t="s">
        <v>149</v>
      </c>
      <c r="D68" s="352"/>
      <c r="E68" s="352"/>
      <c r="F68" s="352"/>
      <c r="G68" s="352"/>
      <c r="H68" s="353"/>
      <c r="J68" s="42" t="s">
        <v>180</v>
      </c>
      <c r="K68" s="98">
        <v>600</v>
      </c>
    </row>
    <row r="69" spans="1:11" x14ac:dyDescent="0.2">
      <c r="A69" s="88"/>
      <c r="B69" s="84" t="s">
        <v>222</v>
      </c>
      <c r="C69" s="81" t="s">
        <v>435</v>
      </c>
      <c r="D69" s="82">
        <f>IF(AND($K$11&gt;0,$K$11&lt;=70),1,IF(AND($K$11&gt;70,$K$11&lt;=150),1,IF(AND($K$11&gt;150),1)))</f>
        <v>1</v>
      </c>
      <c r="E69" s="82">
        <f>($K$100*$K$101*$K$146)+($K$149*$K$146)</f>
        <v>20</v>
      </c>
      <c r="F69" s="82" t="s">
        <v>118</v>
      </c>
      <c r="G69" s="83">
        <f>INDEX('TPU MAR-24'!$D$9:$D$999,MATCH(B69,'TPU MAR-24'!$A$9:$A$999,0))</f>
        <v>41.65</v>
      </c>
      <c r="H69" s="83">
        <f>D69*E69*G69</f>
        <v>833</v>
      </c>
    </row>
    <row r="70" spans="1:11" x14ac:dyDescent="0.2">
      <c r="A70" s="88"/>
      <c r="B70" s="84" t="s">
        <v>204</v>
      </c>
      <c r="C70" s="81" t="s">
        <v>205</v>
      </c>
      <c r="D70" s="82">
        <f>IF(AND($K$11&gt;0,$K$11&lt;=70),3,IF(AND($K$11&gt;70,$K$11&lt;=150),3,IF(AND($K$11&gt;150),3)))</f>
        <v>3</v>
      </c>
      <c r="E70" s="82">
        <f>($K$100*$K$101*$K$145)</f>
        <v>8</v>
      </c>
      <c r="F70" s="82" t="s">
        <v>118</v>
      </c>
      <c r="G70" s="83">
        <f>INDEX('TPU MAR-24'!$D$9:$D$999,MATCH(B70,'TPU MAR-24'!$A$9:$A$999,0))</f>
        <v>24.14</v>
      </c>
      <c r="H70" s="83">
        <f>D70*E70*G70</f>
        <v>579.36</v>
      </c>
      <c r="J70" s="42" t="s">
        <v>418</v>
      </c>
      <c r="K70" s="79">
        <v>2</v>
      </c>
    </row>
    <row r="71" spans="1:11" x14ac:dyDescent="0.2">
      <c r="C71" s="354" t="s">
        <v>179</v>
      </c>
      <c r="D71" s="355"/>
      <c r="E71" s="355"/>
      <c r="F71" s="355"/>
      <c r="G71" s="356"/>
      <c r="H71" s="89">
        <f>SUM(H64:H70)</f>
        <v>7254.579999999999</v>
      </c>
      <c r="J71" s="42" t="s">
        <v>419</v>
      </c>
      <c r="K71" s="42">
        <v>2</v>
      </c>
    </row>
    <row r="72" spans="1:11" x14ac:dyDescent="0.2">
      <c r="C72" s="351" t="s">
        <v>158</v>
      </c>
      <c r="D72" s="352"/>
      <c r="E72" s="352"/>
      <c r="F72" s="352"/>
      <c r="G72" s="352"/>
      <c r="H72" s="353"/>
      <c r="J72" s="42" t="s">
        <v>420</v>
      </c>
      <c r="K72" s="42">
        <f>$K$70*$K$71</f>
        <v>4</v>
      </c>
    </row>
    <row r="73" spans="1:11" x14ac:dyDescent="0.2">
      <c r="C73" s="81" t="s">
        <v>440</v>
      </c>
      <c r="D73" s="82">
        <f>$D$69</f>
        <v>1</v>
      </c>
      <c r="E73" s="82">
        <f>($K$100*$K$101)+($K$149)</f>
        <v>2</v>
      </c>
      <c r="F73" s="82" t="s">
        <v>161</v>
      </c>
      <c r="G73" s="83">
        <f>'TPU MAR-24'!$C$52</f>
        <v>318.24</v>
      </c>
      <c r="H73" s="83">
        <f>D73*E73*G73</f>
        <v>636.48</v>
      </c>
      <c r="J73" s="42" t="s">
        <v>421</v>
      </c>
      <c r="K73" s="42">
        <v>1</v>
      </c>
    </row>
    <row r="74" spans="1:11" x14ac:dyDescent="0.2">
      <c r="C74" s="81" t="s">
        <v>211</v>
      </c>
      <c r="D74" s="82">
        <f>$D$70</f>
        <v>3</v>
      </c>
      <c r="E74" s="82">
        <f>($K$100*$K$101)</f>
        <v>1</v>
      </c>
      <c r="F74" s="82" t="s">
        <v>161</v>
      </c>
      <c r="G74" s="83">
        <f>'TPU MAR-24'!$C$53</f>
        <v>159.12</v>
      </c>
      <c r="H74" s="83">
        <f t="shared" ref="H74" si="7">D74*E74*G74</f>
        <v>477.36</v>
      </c>
      <c r="J74" s="42" t="s">
        <v>422</v>
      </c>
      <c r="K74" s="42">
        <v>1</v>
      </c>
    </row>
    <row r="75" spans="1:11" x14ac:dyDescent="0.2">
      <c r="C75" s="81" t="s">
        <v>442</v>
      </c>
      <c r="D75" s="26">
        <v>1</v>
      </c>
      <c r="E75" s="82">
        <f>($K$100*$K$101)+($K$149)</f>
        <v>2</v>
      </c>
      <c r="F75" s="82" t="s">
        <v>161</v>
      </c>
      <c r="G75" s="83">
        <f>$K$103</f>
        <v>9000</v>
      </c>
      <c r="H75" s="83">
        <f>D75*E75*G75</f>
        <v>18000</v>
      </c>
      <c r="J75" s="42" t="s">
        <v>423</v>
      </c>
      <c r="K75" s="98">
        <v>600</v>
      </c>
    </row>
    <row r="76" spans="1:11" x14ac:dyDescent="0.2">
      <c r="C76" s="81" t="s">
        <v>167</v>
      </c>
      <c r="D76" s="26">
        <v>1</v>
      </c>
      <c r="E76" s="82">
        <v>1</v>
      </c>
      <c r="F76" s="82" t="s">
        <v>168</v>
      </c>
      <c r="G76" s="93">
        <v>1500</v>
      </c>
      <c r="H76" s="83">
        <f>D76*E76*G76</f>
        <v>1500</v>
      </c>
    </row>
    <row r="77" spans="1:11" x14ac:dyDescent="0.2">
      <c r="C77" s="81" t="s">
        <v>170</v>
      </c>
      <c r="D77" s="26">
        <f>$D$69</f>
        <v>1</v>
      </c>
      <c r="E77" s="82">
        <f>($K$100*$K$101)+($K$149)</f>
        <v>2</v>
      </c>
      <c r="F77" s="26" t="s">
        <v>161</v>
      </c>
      <c r="G77" s="95">
        <f>'TPU MAR-24'!$D$42</f>
        <v>193.64</v>
      </c>
      <c r="H77" s="83">
        <f t="shared" ref="H77:H78" si="8">D77*E77*G77</f>
        <v>387.28</v>
      </c>
      <c r="J77" s="42" t="s">
        <v>198</v>
      </c>
      <c r="K77" s="101">
        <v>3000</v>
      </c>
    </row>
    <row r="78" spans="1:11" x14ac:dyDescent="0.2">
      <c r="C78" s="81" t="s">
        <v>401</v>
      </c>
      <c r="D78" s="26">
        <f>D69</f>
        <v>1</v>
      </c>
      <c r="E78" s="151">
        <f>$K$18</f>
        <v>280</v>
      </c>
      <c r="F78" s="26" t="s">
        <v>173</v>
      </c>
      <c r="G78" s="95">
        <f>'TPU MAR-24'!$D$40</f>
        <v>1.29</v>
      </c>
      <c r="H78" s="83">
        <f t="shared" si="8"/>
        <v>361.2</v>
      </c>
      <c r="J78" s="42" t="s">
        <v>199</v>
      </c>
      <c r="K78" s="101">
        <v>200</v>
      </c>
    </row>
    <row r="79" spans="1:11" x14ac:dyDescent="0.2">
      <c r="C79" s="354" t="s">
        <v>179</v>
      </c>
      <c r="D79" s="355"/>
      <c r="E79" s="355"/>
      <c r="F79" s="355"/>
      <c r="G79" s="356"/>
      <c r="H79" s="97">
        <f>SUM(H73:H78)</f>
        <v>21362.32</v>
      </c>
      <c r="K79" s="153"/>
    </row>
    <row r="80" spans="1:11" x14ac:dyDescent="0.2">
      <c r="C80" s="354" t="s">
        <v>219</v>
      </c>
      <c r="D80" s="355"/>
      <c r="E80" s="355"/>
      <c r="F80" s="355"/>
      <c r="G80" s="356"/>
      <c r="H80" s="89">
        <f>H71+H79</f>
        <v>28616.899999999998</v>
      </c>
      <c r="J80" s="79" t="s">
        <v>300</v>
      </c>
      <c r="K80" s="154">
        <v>8000</v>
      </c>
    </row>
    <row r="81" spans="1:11" x14ac:dyDescent="0.2">
      <c r="C81" s="357" t="s">
        <v>267</v>
      </c>
      <c r="D81" s="357"/>
      <c r="E81" s="357"/>
      <c r="F81" s="357"/>
      <c r="G81" s="102">
        <f>$K$129/$K$126</f>
        <v>12</v>
      </c>
      <c r="H81" s="89">
        <f>H80*G81</f>
        <v>343402.8</v>
      </c>
      <c r="J81" s="42" t="s">
        <v>424</v>
      </c>
      <c r="K81" s="130">
        <f>K80/200</f>
        <v>40</v>
      </c>
    </row>
    <row r="82" spans="1:11" x14ac:dyDescent="0.2">
      <c r="C82" s="116"/>
      <c r="D82" s="116"/>
      <c r="E82" s="116"/>
      <c r="F82" s="116"/>
      <c r="G82" s="122"/>
      <c r="H82" s="117"/>
      <c r="J82" s="42" t="s">
        <v>425</v>
      </c>
      <c r="K82" s="42">
        <f>ROUNDUP(($K$81/$K$7),0)</f>
        <v>20</v>
      </c>
    </row>
    <row r="83" spans="1:11" x14ac:dyDescent="0.2">
      <c r="C83" s="116"/>
      <c r="D83" s="116"/>
      <c r="E83" s="116"/>
      <c r="F83" s="116"/>
      <c r="G83" s="122"/>
      <c r="H83" s="117"/>
      <c r="J83" s="42" t="s">
        <v>186</v>
      </c>
      <c r="K83" s="42">
        <v>1</v>
      </c>
    </row>
    <row r="84" spans="1:11" x14ac:dyDescent="0.2">
      <c r="A84" s="48" t="str">
        <f>CAPEX!$A$36</f>
        <v>6.6</v>
      </c>
      <c r="B84" s="77"/>
      <c r="C84" s="349" t="str">
        <f>CAPEX!$B$36</f>
        <v>Programa de Controle de Processos Erosivos e de Assoreamento</v>
      </c>
      <c r="D84" s="350"/>
      <c r="E84" s="350"/>
      <c r="F84" s="350"/>
      <c r="G84" s="350"/>
      <c r="H84" s="145">
        <f>H103</f>
        <v>171679.44</v>
      </c>
      <c r="J84" s="42" t="s">
        <v>426</v>
      </c>
      <c r="K84" s="42">
        <v>10</v>
      </c>
    </row>
    <row r="85" spans="1:11" ht="24" x14ac:dyDescent="0.2">
      <c r="C85" s="45" t="s">
        <v>109</v>
      </c>
      <c r="D85" s="45" t="s">
        <v>28</v>
      </c>
      <c r="E85" s="45" t="s">
        <v>110</v>
      </c>
      <c r="F85" s="45" t="s">
        <v>111</v>
      </c>
      <c r="G85" s="45" t="s">
        <v>112</v>
      </c>
      <c r="H85" s="78" t="s">
        <v>113</v>
      </c>
      <c r="J85" s="42" t="s">
        <v>888</v>
      </c>
      <c r="K85" s="42">
        <v>3</v>
      </c>
    </row>
    <row r="86" spans="1:11" x14ac:dyDescent="0.2">
      <c r="C86" s="351" t="s">
        <v>115</v>
      </c>
      <c r="D86" s="352"/>
      <c r="E86" s="352"/>
      <c r="F86" s="352"/>
      <c r="G86" s="352"/>
      <c r="H86" s="353"/>
      <c r="J86" s="42" t="s">
        <v>188</v>
      </c>
      <c r="K86" s="101">
        <v>2000</v>
      </c>
    </row>
    <row r="87" spans="1:11" x14ac:dyDescent="0.2">
      <c r="A87" s="88"/>
      <c r="B87" s="80" t="s">
        <v>120</v>
      </c>
      <c r="C87" s="81" t="s">
        <v>231</v>
      </c>
      <c r="D87" s="82">
        <f>IF(AND($K$11&gt;0,$K$11&lt;=70),1,IF(AND($K$11&gt;70,$K$11&lt;=150),1,IF(AND($K$11&gt;150),1)))</f>
        <v>1</v>
      </c>
      <c r="E87" s="82">
        <v>4</v>
      </c>
      <c r="F87" s="82" t="s">
        <v>118</v>
      </c>
      <c r="G87" s="83">
        <f>INDEX('TPU MAR-24'!$D$9:$D$999,MATCH(B87,'TPU MAR-24'!$A$9:$A$999,0))</f>
        <v>254.39</v>
      </c>
      <c r="H87" s="83">
        <f t="shared" ref="H87:H89" si="9">D87*E87*G87</f>
        <v>1017.56</v>
      </c>
      <c r="K87" s="153"/>
    </row>
    <row r="88" spans="1:11" x14ac:dyDescent="0.2">
      <c r="A88" s="88"/>
      <c r="B88" s="84" t="s">
        <v>131</v>
      </c>
      <c r="C88" s="81" t="s">
        <v>232</v>
      </c>
      <c r="D88" s="82">
        <f>IF(AND($K$11&gt;0,$K$11&lt;=70),1,IF(AND($K$11&gt;70,$K$11&lt;=150),1,IF(AND($K$11&gt;150),1)))</f>
        <v>1</v>
      </c>
      <c r="E88" s="82">
        <v>24</v>
      </c>
      <c r="F88" s="82" t="s">
        <v>118</v>
      </c>
      <c r="G88" s="83">
        <f>INDEX('TPU MAR-24'!$D$9:$D$999,MATCH(B88,'TPU MAR-24'!$A$9:$A$999,0))</f>
        <v>220.66</v>
      </c>
      <c r="H88" s="83">
        <f t="shared" si="9"/>
        <v>5295.84</v>
      </c>
      <c r="J88" s="42" t="s">
        <v>1020</v>
      </c>
      <c r="K88" s="101">
        <v>3</v>
      </c>
    </row>
    <row r="89" spans="1:11" x14ac:dyDescent="0.2">
      <c r="A89" s="88"/>
      <c r="B89" s="84" t="s">
        <v>143</v>
      </c>
      <c r="C89" s="81" t="s">
        <v>200</v>
      </c>
      <c r="D89" s="82">
        <f>IF(AND($K$11&gt;0,$K$11&lt;=70),1,IF(AND($K$11&gt;70,$K$11&lt;=150),1,IF(AND($K$11&gt;150),1)))</f>
        <v>1</v>
      </c>
      <c r="E89" s="82">
        <v>2</v>
      </c>
      <c r="F89" s="82" t="s">
        <v>118</v>
      </c>
      <c r="G89" s="83">
        <f>INDEX('TPU MAR-24'!$D$9:$D$999,MATCH(B89,'TPU MAR-24'!$A$9:$A$999,0))</f>
        <v>94.41</v>
      </c>
      <c r="H89" s="83">
        <f t="shared" si="9"/>
        <v>188.82</v>
      </c>
      <c r="J89" s="42" t="s">
        <v>1021</v>
      </c>
      <c r="K89" s="101">
        <v>22</v>
      </c>
    </row>
    <row r="90" spans="1:11" x14ac:dyDescent="0.2">
      <c r="A90" s="88"/>
      <c r="B90" s="84" t="s">
        <v>146</v>
      </c>
      <c r="C90" s="81" t="s">
        <v>147</v>
      </c>
      <c r="D90" s="82">
        <f>IF(AND($K$11&gt;0,$K$11&lt;=70),1,IF(AND($K$11&gt;70,$K$11&lt;=150),1,IF(AND($K$11&gt;150),1)))</f>
        <v>1</v>
      </c>
      <c r="E90" s="82">
        <v>2</v>
      </c>
      <c r="F90" s="82" t="s">
        <v>118</v>
      </c>
      <c r="G90" s="83">
        <f>INDEX('TPU MAR-24'!$D$9:$D$999,MATCH(B90,'TPU MAR-24'!$A$9:$A$999,0))</f>
        <v>46.06</v>
      </c>
      <c r="H90" s="83">
        <f>D90*E90*G90</f>
        <v>92.12</v>
      </c>
      <c r="J90" s="42" t="s">
        <v>1026</v>
      </c>
      <c r="K90" s="101">
        <v>10</v>
      </c>
    </row>
    <row r="91" spans="1:11" x14ac:dyDescent="0.2">
      <c r="C91" s="351" t="s">
        <v>149</v>
      </c>
      <c r="D91" s="352"/>
      <c r="E91" s="352"/>
      <c r="F91" s="352"/>
      <c r="G91" s="352"/>
      <c r="H91" s="353"/>
      <c r="J91" s="42" t="s">
        <v>1022</v>
      </c>
      <c r="K91" s="101">
        <v>22</v>
      </c>
    </row>
    <row r="92" spans="1:11" x14ac:dyDescent="0.2">
      <c r="A92" s="88"/>
      <c r="B92" s="84" t="s">
        <v>131</v>
      </c>
      <c r="C92" s="81" t="s">
        <v>232</v>
      </c>
      <c r="D92" s="82">
        <f>IF(AND($K$11&gt;0,$K$11&lt;=70),1,IF(AND($K$11&gt;70,$K$11&lt;=150),1,IF(AND($K$11&gt;150),1)))</f>
        <v>1</v>
      </c>
      <c r="E92" s="82">
        <f>((ROUNDUP($K$11/$K$20,0))*$K$146)+($K$149*$K$146)</f>
        <v>20</v>
      </c>
      <c r="F92" s="82" t="s">
        <v>118</v>
      </c>
      <c r="G92" s="83">
        <f>INDEX('TPU MAR-24'!$D$9:$D$999,MATCH(B92,'TPU MAR-24'!$A$9:$A$999,0))</f>
        <v>220.66</v>
      </c>
      <c r="H92" s="83">
        <f>D92*E92*G92</f>
        <v>4413.2</v>
      </c>
      <c r="J92" s="42" t="s">
        <v>1023</v>
      </c>
      <c r="K92" s="101">
        <v>1</v>
      </c>
    </row>
    <row r="93" spans="1:11" x14ac:dyDescent="0.2">
      <c r="A93" s="88"/>
      <c r="B93" s="84" t="s">
        <v>153</v>
      </c>
      <c r="C93" s="81" t="s">
        <v>154</v>
      </c>
      <c r="D93" s="82">
        <f>IF(AND($K$11&gt;0,$K$11&lt;=70),1,IF(AND($K$11&gt;70,$K$11&lt;=150),1,IF(AND($K$11&gt;150),1)))</f>
        <v>1</v>
      </c>
      <c r="E93" s="82">
        <f>((ROUNDUP($K$11/$K$20,0))*$K$146)</f>
        <v>10</v>
      </c>
      <c r="F93" s="82" t="s">
        <v>118</v>
      </c>
      <c r="G93" s="83">
        <f>INDEX('TPU MAR-24'!$D$9:$D$999,MATCH(B93,'TPU MAR-24'!$A$9:$A$999,0))</f>
        <v>25.5</v>
      </c>
      <c r="H93" s="83">
        <f>D93*E93*G93</f>
        <v>255</v>
      </c>
      <c r="J93" s="42" t="s">
        <v>1024</v>
      </c>
      <c r="K93" s="101">
        <v>6</v>
      </c>
    </row>
    <row r="94" spans="1:11" x14ac:dyDescent="0.2">
      <c r="C94" s="354" t="s">
        <v>179</v>
      </c>
      <c r="D94" s="355"/>
      <c r="E94" s="355"/>
      <c r="F94" s="355"/>
      <c r="G94" s="356"/>
      <c r="H94" s="89">
        <f>SUM(H87:H93)</f>
        <v>11262.539999999999</v>
      </c>
      <c r="J94" s="42" t="s">
        <v>1025</v>
      </c>
      <c r="K94" s="101">
        <v>1</v>
      </c>
    </row>
    <row r="95" spans="1:11" x14ac:dyDescent="0.2">
      <c r="C95" s="351" t="s">
        <v>158</v>
      </c>
      <c r="D95" s="352"/>
      <c r="E95" s="352"/>
      <c r="F95" s="352"/>
      <c r="G95" s="352"/>
      <c r="H95" s="353"/>
      <c r="J95" s="42" t="s">
        <v>1027</v>
      </c>
      <c r="K95" s="101">
        <v>5</v>
      </c>
    </row>
    <row r="96" spans="1:11" x14ac:dyDescent="0.2">
      <c r="C96" s="81" t="s">
        <v>233</v>
      </c>
      <c r="D96" s="26">
        <f>$D$92</f>
        <v>1</v>
      </c>
      <c r="E96" s="82">
        <f>((ROUNDUP($K$11/$K$20,0)))+($K$149)</f>
        <v>2</v>
      </c>
      <c r="F96" s="82" t="s">
        <v>161</v>
      </c>
      <c r="G96" s="83">
        <f>'TPU MAR-24'!$C$52</f>
        <v>318.24</v>
      </c>
      <c r="H96" s="83">
        <f t="shared" ref="H96:H100" si="10">D96*E96*G96</f>
        <v>636.48</v>
      </c>
      <c r="J96" s="42" t="s">
        <v>1028</v>
      </c>
      <c r="K96" s="101">
        <v>1000</v>
      </c>
    </row>
    <row r="97" spans="1:11" x14ac:dyDescent="0.2">
      <c r="C97" s="81" t="s">
        <v>165</v>
      </c>
      <c r="D97" s="26">
        <f>$D$93</f>
        <v>1</v>
      </c>
      <c r="E97" s="82">
        <f>((ROUNDUP($K$11/$K$20,0)))</f>
        <v>1</v>
      </c>
      <c r="F97" s="82" t="s">
        <v>161</v>
      </c>
      <c r="G97" s="83">
        <f>'TPU MAR-24'!$C$53</f>
        <v>159.12</v>
      </c>
      <c r="H97" s="83">
        <f t="shared" si="10"/>
        <v>159.12</v>
      </c>
      <c r="J97" s="42" t="s">
        <v>1029</v>
      </c>
      <c r="K97" s="101">
        <v>12</v>
      </c>
    </row>
    <row r="98" spans="1:11" x14ac:dyDescent="0.2">
      <c r="C98" s="81" t="s">
        <v>167</v>
      </c>
      <c r="D98" s="26">
        <v>1</v>
      </c>
      <c r="E98" s="82">
        <v>1</v>
      </c>
      <c r="F98" s="82" t="s">
        <v>168</v>
      </c>
      <c r="G98" s="93">
        <v>1500</v>
      </c>
      <c r="H98" s="83">
        <f t="shared" si="10"/>
        <v>1500</v>
      </c>
      <c r="J98" s="42" t="s">
        <v>1030</v>
      </c>
      <c r="K98" s="101">
        <v>4</v>
      </c>
    </row>
    <row r="99" spans="1:11" x14ac:dyDescent="0.2">
      <c r="C99" s="81" t="s">
        <v>170</v>
      </c>
      <c r="D99" s="26">
        <f>D92</f>
        <v>1</v>
      </c>
      <c r="E99" s="82">
        <f>((ROUNDUP($K$11/$K$20,0)))+($K$149)</f>
        <v>2</v>
      </c>
      <c r="F99" s="26" t="s">
        <v>161</v>
      </c>
      <c r="G99" s="95">
        <f>'TPU MAR-24'!$D$42</f>
        <v>193.64</v>
      </c>
      <c r="H99" s="83">
        <f t="shared" si="10"/>
        <v>387.28</v>
      </c>
      <c r="K99" s="153"/>
    </row>
    <row r="100" spans="1:11" x14ac:dyDescent="0.2">
      <c r="C100" s="81" t="s">
        <v>401</v>
      </c>
      <c r="D100" s="26">
        <f>D93</f>
        <v>1</v>
      </c>
      <c r="E100" s="151">
        <f>$K$18</f>
        <v>280</v>
      </c>
      <c r="F100" s="26" t="s">
        <v>173</v>
      </c>
      <c r="G100" s="95">
        <f>'TPU MAR-24'!$D$40</f>
        <v>1.29</v>
      </c>
      <c r="H100" s="83">
        <f t="shared" si="10"/>
        <v>361.2</v>
      </c>
      <c r="J100" s="42" t="s">
        <v>427</v>
      </c>
      <c r="K100" s="147">
        <f>$K$17</f>
        <v>1</v>
      </c>
    </row>
    <row r="101" spans="1:11" x14ac:dyDescent="0.2">
      <c r="C101" s="354" t="s">
        <v>179</v>
      </c>
      <c r="D101" s="355"/>
      <c r="E101" s="355"/>
      <c r="F101" s="355"/>
      <c r="G101" s="356"/>
      <c r="H101" s="97">
        <f>SUM(H96:H100)</f>
        <v>3044.08</v>
      </c>
      <c r="J101" s="42" t="s">
        <v>428</v>
      </c>
      <c r="K101" s="42">
        <v>1</v>
      </c>
    </row>
    <row r="102" spans="1:11" x14ac:dyDescent="0.2">
      <c r="C102" s="354" t="s">
        <v>219</v>
      </c>
      <c r="D102" s="355"/>
      <c r="E102" s="355"/>
      <c r="F102" s="355"/>
      <c r="G102" s="356"/>
      <c r="H102" s="89">
        <f>H94+H101</f>
        <v>14306.619999999999</v>
      </c>
      <c r="J102" s="42" t="s">
        <v>429</v>
      </c>
      <c r="K102" s="42">
        <v>2</v>
      </c>
    </row>
    <row r="103" spans="1:11" x14ac:dyDescent="0.2">
      <c r="C103" s="357" t="s">
        <v>267</v>
      </c>
      <c r="D103" s="357"/>
      <c r="E103" s="357"/>
      <c r="F103" s="357"/>
      <c r="G103" s="102">
        <f>$K$129/$K$126</f>
        <v>12</v>
      </c>
      <c r="H103" s="89">
        <f>H102*G103</f>
        <v>171679.44</v>
      </c>
      <c r="J103" s="42" t="s">
        <v>430</v>
      </c>
      <c r="K103" s="101">
        <v>9000</v>
      </c>
    </row>
    <row r="104" spans="1:11" x14ac:dyDescent="0.2">
      <c r="C104" s="118"/>
      <c r="D104" s="118"/>
      <c r="E104" s="118"/>
      <c r="F104" s="118"/>
      <c r="G104" s="118"/>
      <c r="H104" s="118"/>
      <c r="K104" s="153"/>
    </row>
    <row r="105" spans="1:11" x14ac:dyDescent="0.2">
      <c r="C105" s="116"/>
      <c r="D105" s="116"/>
      <c r="E105" s="116"/>
      <c r="F105" s="116"/>
      <c r="G105" s="116"/>
      <c r="H105" s="117"/>
      <c r="J105" s="79" t="s">
        <v>431</v>
      </c>
      <c r="K105" s="79">
        <v>3</v>
      </c>
    </row>
    <row r="106" spans="1:11" x14ac:dyDescent="0.2">
      <c r="A106" s="48" t="str">
        <f>CAPEX!$A$37</f>
        <v>6.7</v>
      </c>
      <c r="B106" s="77"/>
      <c r="C106" s="349" t="str">
        <f>CAPEX!$B$37</f>
        <v>Plano de Controle Ambiental da Construção – PCA - Monitoramento dos Níveis de Ruído durante a implantação</v>
      </c>
      <c r="D106" s="350"/>
      <c r="E106" s="350"/>
      <c r="F106" s="350"/>
      <c r="G106" s="350"/>
      <c r="H106" s="145">
        <f>H126</f>
        <v>391404.16000000003</v>
      </c>
      <c r="J106" s="42" t="s">
        <v>432</v>
      </c>
      <c r="K106" s="42">
        <f>K105</f>
        <v>3</v>
      </c>
    </row>
    <row r="107" spans="1:11" ht="24" x14ac:dyDescent="0.2">
      <c r="C107" s="45" t="s">
        <v>109</v>
      </c>
      <c r="D107" s="45" t="s">
        <v>28</v>
      </c>
      <c r="E107" s="45" t="s">
        <v>110</v>
      </c>
      <c r="F107" s="45" t="s">
        <v>111</v>
      </c>
      <c r="G107" s="45" t="s">
        <v>112</v>
      </c>
      <c r="H107" s="78" t="s">
        <v>113</v>
      </c>
      <c r="J107" s="42" t="s">
        <v>433</v>
      </c>
      <c r="K107" s="147">
        <f>$K$17</f>
        <v>1</v>
      </c>
    </row>
    <row r="108" spans="1:11" x14ac:dyDescent="0.2">
      <c r="C108" s="351" t="s">
        <v>190</v>
      </c>
      <c r="D108" s="352"/>
      <c r="E108" s="352"/>
      <c r="F108" s="352"/>
      <c r="G108" s="352"/>
      <c r="H108" s="353"/>
      <c r="J108" s="42" t="s">
        <v>285</v>
      </c>
      <c r="K108" s="147">
        <f>K106+K107</f>
        <v>4</v>
      </c>
    </row>
    <row r="109" spans="1:11" x14ac:dyDescent="0.2">
      <c r="A109" s="112"/>
      <c r="B109" s="80" t="s">
        <v>123</v>
      </c>
      <c r="C109" s="81" t="s">
        <v>229</v>
      </c>
      <c r="D109" s="82">
        <f>IF(AND($K$11&gt;0,$K$11&lt;=70),1,IF(AND($K$11&gt;70,$K$11&lt;=150),1,IF(AND($K$11&gt;150),1)))</f>
        <v>1</v>
      </c>
      <c r="E109" s="82">
        <f>$K$145</f>
        <v>8</v>
      </c>
      <c r="F109" s="82" t="s">
        <v>118</v>
      </c>
      <c r="G109" s="83">
        <f>INDEX('TPU MAR-24'!$D$9:$D$999,MATCH(B109,'TPU MAR-24'!$A$9:$A$999,0))</f>
        <v>268.08</v>
      </c>
      <c r="H109" s="83">
        <f>D109*E109*G109</f>
        <v>2144.64</v>
      </c>
      <c r="K109" s="153"/>
    </row>
    <row r="110" spans="1:11" x14ac:dyDescent="0.2">
      <c r="A110" s="88"/>
      <c r="B110" s="84" t="s">
        <v>140</v>
      </c>
      <c r="C110" s="81" t="s">
        <v>221</v>
      </c>
      <c r="D110" s="82">
        <f>IF(AND($K$11&gt;0,$K$11&lt;=70),1,IF(AND($K$11&gt;70,$K$11&lt;=150),1,IF(AND($K$11&gt;150),1)))</f>
        <v>1</v>
      </c>
      <c r="E110" s="82">
        <f>$K$85*$K$145</f>
        <v>24</v>
      </c>
      <c r="F110" s="82" t="s">
        <v>118</v>
      </c>
      <c r="G110" s="83">
        <f>INDEX('TPU MAR-24'!$D$9:$D$999,MATCH(B110,'TPU MAR-24'!$A$9:$A$999,0))</f>
        <v>213.54</v>
      </c>
      <c r="H110" s="83">
        <f>D110*E110*G110</f>
        <v>5124.96</v>
      </c>
      <c r="J110" s="42" t="s">
        <v>282</v>
      </c>
      <c r="K110" s="79">
        <v>0</v>
      </c>
    </row>
    <row r="111" spans="1:11" x14ac:dyDescent="0.2">
      <c r="A111" s="88"/>
      <c r="B111" s="84" t="s">
        <v>143</v>
      </c>
      <c r="C111" s="81" t="s">
        <v>200</v>
      </c>
      <c r="D111" s="82">
        <f>IF(AND($K$11&gt;0,$K$11&lt;=70),1,IF(AND($K$11&gt;70,$K$11&lt;=150),1,IF(AND($K$11&gt;150),1)))</f>
        <v>1</v>
      </c>
      <c r="E111" s="82">
        <f>(ROUNDUP($K$82/$K$84,0)*$K$145)/4</f>
        <v>4</v>
      </c>
      <c r="F111" s="82" t="s">
        <v>118</v>
      </c>
      <c r="G111" s="83">
        <f>INDEX('TPU MAR-24'!$D$9:$D$999,MATCH(B111,'TPU MAR-24'!$A$9:$A$999,0))</f>
        <v>94.41</v>
      </c>
      <c r="H111" s="83">
        <f>D111*E111*G111</f>
        <v>377.64</v>
      </c>
      <c r="J111" s="42" t="s">
        <v>283</v>
      </c>
      <c r="K111" s="79">
        <v>0</v>
      </c>
    </row>
    <row r="112" spans="1:11" x14ac:dyDescent="0.2">
      <c r="A112" s="88"/>
      <c r="B112" s="84" t="s">
        <v>146</v>
      </c>
      <c r="C112" s="81" t="s">
        <v>147</v>
      </c>
      <c r="D112" s="82">
        <f>IF(AND($K$11&gt;0,$K$11&lt;=70),1,IF(AND($K$11&gt;70,$K$11&lt;=150),1,IF(AND($K$11&gt;150),1)))</f>
        <v>1</v>
      </c>
      <c r="E112" s="82">
        <f>(ROUNDUP($K$82/$K$84,0)*$K$145)/4</f>
        <v>4</v>
      </c>
      <c r="F112" s="82" t="s">
        <v>118</v>
      </c>
      <c r="G112" s="83">
        <f>INDEX('TPU MAR-24'!$D$9:$D$999,MATCH(B112,'TPU MAR-24'!$A$9:$A$999,0))</f>
        <v>46.06</v>
      </c>
      <c r="H112" s="83">
        <f>D112*E112*G112</f>
        <v>184.24</v>
      </c>
      <c r="J112" s="42" t="s">
        <v>436</v>
      </c>
      <c r="K112" s="42">
        <v>5</v>
      </c>
    </row>
    <row r="113" spans="1:11" x14ac:dyDescent="0.2">
      <c r="C113" s="351" t="s">
        <v>149</v>
      </c>
      <c r="D113" s="352"/>
      <c r="E113" s="352"/>
      <c r="F113" s="352"/>
      <c r="G113" s="352"/>
      <c r="H113" s="353"/>
      <c r="J113" s="42" t="s">
        <v>437</v>
      </c>
      <c r="K113" s="155">
        <v>4</v>
      </c>
    </row>
    <row r="114" spans="1:11" x14ac:dyDescent="0.2">
      <c r="A114" s="88"/>
      <c r="B114" s="84" t="s">
        <v>140</v>
      </c>
      <c r="C114" s="81" t="s">
        <v>221</v>
      </c>
      <c r="D114" s="82">
        <f>IF(AND($K$11&gt;0,$K$11&lt;=70),1,IF(AND($K$11&gt;70,$K$11&lt;=150),1,IF(AND($K$11&gt;150),1)))</f>
        <v>1</v>
      </c>
      <c r="E114" s="82">
        <f>IF(AND(($K$82*$K$83)&lt;=10),1*$K$146,IF(AND(($K$82*$K$83)&gt;10),ROUNDUP(((($K$82*$K$83)/$K$146)+($K$149)),0)*$K$146))</f>
        <v>30</v>
      </c>
      <c r="F114" s="82" t="s">
        <v>118</v>
      </c>
      <c r="G114" s="83">
        <f>INDEX('TPU MAR-24'!$D$9:$D$999,MATCH(B114,'TPU MAR-24'!$A$9:$A$999,0))</f>
        <v>213.54</v>
      </c>
      <c r="H114" s="83">
        <f>D114*E114*G114</f>
        <v>6406.2</v>
      </c>
      <c r="J114" s="156" t="s">
        <v>438</v>
      </c>
      <c r="K114" s="101">
        <v>5000</v>
      </c>
    </row>
    <row r="115" spans="1:11" x14ac:dyDescent="0.2">
      <c r="A115" s="88"/>
      <c r="B115" s="84" t="s">
        <v>153</v>
      </c>
      <c r="C115" s="81" t="s">
        <v>154</v>
      </c>
      <c r="D115" s="82">
        <f>IF(AND($K$11&gt;0,$K$11&lt;=70),1,IF(AND($K$11&gt;70,$K$11&lt;=150),1,IF(AND($K$11&gt;150),1)))</f>
        <v>1</v>
      </c>
      <c r="E115" s="82">
        <f>IF(AND(($K$82*$K$83)&lt;=10),1*$K$146,IF(AND(($K$82*$K$83)&gt;10),ROUNDUP(((($K$82*$K$83)/$K$146)),0)*$K$146))</f>
        <v>20</v>
      </c>
      <c r="F115" s="82" t="s">
        <v>118</v>
      </c>
      <c r="G115" s="83">
        <f>INDEX('TPU MAR-24'!$D$9:$D$999,MATCH(B115,'TPU MAR-24'!$A$9:$A$999,0))</f>
        <v>25.5</v>
      </c>
      <c r="H115" s="83">
        <f>D115*E115*G115</f>
        <v>510</v>
      </c>
      <c r="J115" s="157" t="s">
        <v>439</v>
      </c>
      <c r="K115" s="125"/>
    </row>
    <row r="116" spans="1:11" x14ac:dyDescent="0.2">
      <c r="C116" s="354" t="s">
        <v>179</v>
      </c>
      <c r="D116" s="355"/>
      <c r="E116" s="355"/>
      <c r="F116" s="355"/>
      <c r="G116" s="356"/>
      <c r="H116" s="89">
        <f>SUM(H109:H115)</f>
        <v>14747.68</v>
      </c>
      <c r="K116" s="125"/>
    </row>
    <row r="117" spans="1:11" x14ac:dyDescent="0.2">
      <c r="C117" s="351" t="s">
        <v>158</v>
      </c>
      <c r="D117" s="352"/>
      <c r="E117" s="352"/>
      <c r="F117" s="352"/>
      <c r="G117" s="352"/>
      <c r="H117" s="353"/>
      <c r="J117" s="42" t="s">
        <v>441</v>
      </c>
      <c r="K117" s="79">
        <v>0</v>
      </c>
    </row>
    <row r="118" spans="1:11" x14ac:dyDescent="0.2">
      <c r="C118" s="81" t="s">
        <v>160</v>
      </c>
      <c r="D118" s="82">
        <f>IF(AND($K$11&gt;0,$K$11&lt;=70),1,IF(AND($K$11&gt;70,$K$11&lt;=150),1,IF(AND($K$11&gt;150),1)))</f>
        <v>1</v>
      </c>
      <c r="E118" s="82">
        <f>IF(AND(($K$82*$K$83)&lt;=10),1,IF(AND(($K$82*$K$83)&gt;10),ROUNDUP(((($K$82*$K$83)/$K$146)+($K$149)),0)))</f>
        <v>3</v>
      </c>
      <c r="F118" s="82" t="s">
        <v>161</v>
      </c>
      <c r="G118" s="83">
        <f>'TPU MAR-24'!$C$52</f>
        <v>318.24</v>
      </c>
      <c r="H118" s="83">
        <f t="shared" ref="H118:H123" si="11">D118*E118*G118</f>
        <v>954.72</v>
      </c>
      <c r="J118" s="42" t="s">
        <v>443</v>
      </c>
      <c r="K118" s="42">
        <v>0.5</v>
      </c>
    </row>
    <row r="119" spans="1:11" x14ac:dyDescent="0.2">
      <c r="C119" s="81" t="s">
        <v>165</v>
      </c>
      <c r="D119" s="82">
        <f>IF(AND($K$11&gt;0,$K$11&lt;=70),1,IF(AND($K$11&gt;70,$K$11&lt;=150),1,IF(AND($K$11&gt;150),1)))</f>
        <v>1</v>
      </c>
      <c r="E119" s="82">
        <f>IF(AND(($K$82*$K$83)&lt;=10),1,IF(AND(($K$82*$K$83)&gt;10),ROUNDUP(((($K$82*$K$83)/$K$146)),0)))</f>
        <v>2</v>
      </c>
      <c r="F119" s="82" t="s">
        <v>161</v>
      </c>
      <c r="G119" s="83">
        <f>'TPU MAR-24'!$C$53</f>
        <v>159.12</v>
      </c>
      <c r="H119" s="83">
        <f t="shared" si="11"/>
        <v>318.24</v>
      </c>
      <c r="J119" s="42" t="s">
        <v>444</v>
      </c>
      <c r="K119" s="42">
        <v>1</v>
      </c>
    </row>
    <row r="120" spans="1:11" x14ac:dyDescent="0.2">
      <c r="C120" s="81" t="s">
        <v>230</v>
      </c>
      <c r="D120" s="26">
        <v>1</v>
      </c>
      <c r="E120" s="82">
        <f>IF(AND(($K$82*$K$83)&lt;=10),1,IF(AND(($K$82*$K$83)&gt;10),ROUNDUP(((($K$82*$K$83)/$K$146)+($K$149)),0)))</f>
        <v>3</v>
      </c>
      <c r="F120" s="82" t="s">
        <v>161</v>
      </c>
      <c r="G120" s="83">
        <f>$K$86</f>
        <v>2000</v>
      </c>
      <c r="H120" s="83">
        <f t="shared" si="11"/>
        <v>6000</v>
      </c>
      <c r="J120" s="42" t="s">
        <v>445</v>
      </c>
      <c r="K120" s="101">
        <v>540</v>
      </c>
    </row>
    <row r="121" spans="1:11" x14ac:dyDescent="0.2">
      <c r="C121" s="81" t="s">
        <v>167</v>
      </c>
      <c r="D121" s="26">
        <v>1</v>
      </c>
      <c r="E121" s="82">
        <v>1</v>
      </c>
      <c r="F121" s="82" t="s">
        <v>168</v>
      </c>
      <c r="G121" s="93">
        <v>1500</v>
      </c>
      <c r="H121" s="83">
        <f t="shared" si="11"/>
        <v>1500</v>
      </c>
    </row>
    <row r="122" spans="1:11" x14ac:dyDescent="0.2">
      <c r="C122" s="81" t="s">
        <v>170</v>
      </c>
      <c r="D122" s="26">
        <v>1</v>
      </c>
      <c r="E122" s="82">
        <f>IF(AND(($K$82*$K$83)&lt;=10),1,IF(AND(($K$82*$K$83)&gt;10),ROUNDUP(((($K$82*$K$83)/$K$146)+($K$149)),0)))</f>
        <v>3</v>
      </c>
      <c r="F122" s="26" t="s">
        <v>161</v>
      </c>
      <c r="G122" s="95">
        <f>'TPU MAR-24'!$D$42</f>
        <v>193.64</v>
      </c>
      <c r="H122" s="83">
        <f t="shared" si="11"/>
        <v>580.91999999999996</v>
      </c>
      <c r="J122" s="42" t="s">
        <v>446</v>
      </c>
      <c r="K122" s="158">
        <v>0</v>
      </c>
    </row>
    <row r="123" spans="1:11" x14ac:dyDescent="0.2">
      <c r="C123" s="81" t="s">
        <v>401</v>
      </c>
      <c r="D123" s="26">
        <f>D115</f>
        <v>1</v>
      </c>
      <c r="E123" s="151">
        <f>$K$18</f>
        <v>280</v>
      </c>
      <c r="F123" s="26" t="s">
        <v>173</v>
      </c>
      <c r="G123" s="95">
        <f>'TPU MAR-24'!$D$40</f>
        <v>1.29</v>
      </c>
      <c r="H123" s="83">
        <f t="shared" si="11"/>
        <v>361.2</v>
      </c>
      <c r="J123" s="42" t="s">
        <v>447</v>
      </c>
      <c r="K123" s="158">
        <v>0</v>
      </c>
    </row>
    <row r="124" spans="1:11" x14ac:dyDescent="0.2">
      <c r="C124" s="354" t="s">
        <v>179</v>
      </c>
      <c r="D124" s="355"/>
      <c r="E124" s="355"/>
      <c r="F124" s="355"/>
      <c r="G124" s="356"/>
      <c r="H124" s="97">
        <f>SUM(H118:H123)</f>
        <v>9715.08</v>
      </c>
      <c r="J124" s="42" t="s">
        <v>448</v>
      </c>
      <c r="K124" s="158">
        <v>0</v>
      </c>
    </row>
    <row r="125" spans="1:11" x14ac:dyDescent="0.2">
      <c r="C125" s="354" t="s">
        <v>219</v>
      </c>
      <c r="D125" s="355"/>
      <c r="E125" s="355"/>
      <c r="F125" s="355"/>
      <c r="G125" s="356"/>
      <c r="H125" s="89">
        <f>H116+H124</f>
        <v>24462.760000000002</v>
      </c>
    </row>
    <row r="126" spans="1:11" x14ac:dyDescent="0.2">
      <c r="C126" s="354" t="s">
        <v>267</v>
      </c>
      <c r="D126" s="355"/>
      <c r="E126" s="355"/>
      <c r="F126" s="356"/>
      <c r="G126" s="102">
        <f>$K$129/$K$134</f>
        <v>16</v>
      </c>
      <c r="H126" s="89">
        <f>H125*G126</f>
        <v>391404.16000000003</v>
      </c>
      <c r="J126" s="42" t="s">
        <v>449</v>
      </c>
      <c r="K126" s="42">
        <v>4</v>
      </c>
    </row>
    <row r="127" spans="1:11" x14ac:dyDescent="0.2">
      <c r="C127" s="118"/>
      <c r="D127" s="118"/>
      <c r="E127" s="118"/>
      <c r="F127" s="118"/>
      <c r="G127" s="118"/>
      <c r="H127" s="118"/>
      <c r="J127" s="42" t="s">
        <v>203</v>
      </c>
      <c r="K127" s="42">
        <v>12</v>
      </c>
    </row>
    <row r="128" spans="1:11" x14ac:dyDescent="0.2">
      <c r="C128" s="118"/>
      <c r="D128" s="118"/>
      <c r="E128" s="118"/>
      <c r="F128" s="118"/>
      <c r="G128" s="118"/>
      <c r="H128" s="118"/>
      <c r="J128" s="79" t="s">
        <v>450</v>
      </c>
      <c r="K128" s="79">
        <v>4</v>
      </c>
    </row>
    <row r="129" spans="1:11" x14ac:dyDescent="0.2">
      <c r="A129" s="48" t="str">
        <f>CAPEX!$A$38</f>
        <v>6.8</v>
      </c>
      <c r="B129" s="77"/>
      <c r="C129" s="349" t="str">
        <f>CAPEX!$B$38</f>
        <v>Programa de Monitoramento de Recalques e Subsidências em Edifícios Lindeiros</v>
      </c>
      <c r="D129" s="350"/>
      <c r="E129" s="350"/>
      <c r="F129" s="350"/>
      <c r="G129" s="350"/>
      <c r="H129" s="145">
        <f>H148+H167+H168</f>
        <v>852806.76</v>
      </c>
      <c r="J129" s="159" t="s">
        <v>451</v>
      </c>
      <c r="K129" s="42">
        <f>$K$127*$K$128</f>
        <v>48</v>
      </c>
    </row>
    <row r="130" spans="1:11" ht="24" x14ac:dyDescent="0.2">
      <c r="C130" s="45" t="s">
        <v>109</v>
      </c>
      <c r="D130" s="45" t="s">
        <v>28</v>
      </c>
      <c r="E130" s="45" t="s">
        <v>110</v>
      </c>
      <c r="F130" s="45" t="s">
        <v>111</v>
      </c>
      <c r="G130" s="45" t="s">
        <v>112</v>
      </c>
      <c r="H130" s="78" t="s">
        <v>113</v>
      </c>
      <c r="J130" s="79" t="s">
        <v>453</v>
      </c>
      <c r="K130" s="79">
        <v>0</v>
      </c>
    </row>
    <row r="131" spans="1:11" x14ac:dyDescent="0.2">
      <c r="C131" s="351" t="s">
        <v>1016</v>
      </c>
      <c r="D131" s="352"/>
      <c r="E131" s="352"/>
      <c r="F131" s="352"/>
      <c r="G131" s="352"/>
      <c r="H131" s="353"/>
      <c r="J131" s="159" t="s">
        <v>454</v>
      </c>
      <c r="K131" s="42">
        <f>K130*K127</f>
        <v>0</v>
      </c>
    </row>
    <row r="132" spans="1:11" x14ac:dyDescent="0.2">
      <c r="A132" s="112"/>
      <c r="B132" s="80" t="s">
        <v>123</v>
      </c>
      <c r="C132" s="81" t="s">
        <v>1014</v>
      </c>
      <c r="D132" s="82">
        <f>IF(AND($K$11&gt;0,$K$11&lt;=70),1,IF(AND($K$11&gt;70,$K$11&lt;=150),1,IF(AND($K$11&gt;150),1)))</f>
        <v>1</v>
      </c>
      <c r="E132" s="82">
        <f>$K$88*$K$145</f>
        <v>24</v>
      </c>
      <c r="F132" s="82" t="s">
        <v>118</v>
      </c>
      <c r="G132" s="83">
        <f>INDEX('TPU MAR-24'!$D$9:$D$999,MATCH(B132,'TPU MAR-24'!$A$9:$A$999,0))</f>
        <v>268.08</v>
      </c>
      <c r="H132" s="83">
        <f>D132*E132*G132</f>
        <v>6433.92</v>
      </c>
    </row>
    <row r="133" spans="1:11" x14ac:dyDescent="0.2">
      <c r="A133" s="88"/>
      <c r="B133" s="84" t="s">
        <v>140</v>
      </c>
      <c r="C133" s="81" t="s">
        <v>1013</v>
      </c>
      <c r="D133" s="82">
        <f>IF(AND($K$11&gt;0,$K$11&lt;=70),1,IF(AND($K$11&gt;70,$K$11&lt;=150),1,IF(AND($K$11&gt;150),1)))</f>
        <v>1</v>
      </c>
      <c r="E133" s="82">
        <f>$K$89*$K$145</f>
        <v>176</v>
      </c>
      <c r="F133" s="82" t="s">
        <v>118</v>
      </c>
      <c r="G133" s="83">
        <f>INDEX('TPU MAR-24'!$D$9:$D$999,MATCH(B133,'TPU MAR-24'!$A$9:$A$999,0))</f>
        <v>213.54</v>
      </c>
      <c r="H133" s="83">
        <f>D133*E133*G133</f>
        <v>37583.040000000001</v>
      </c>
      <c r="J133" s="42" t="s">
        <v>886</v>
      </c>
      <c r="K133" s="42">
        <v>5</v>
      </c>
    </row>
    <row r="134" spans="1:11" x14ac:dyDescent="0.2">
      <c r="A134" s="88"/>
      <c r="B134" s="84" t="s">
        <v>143</v>
      </c>
      <c r="C134" s="81" t="s">
        <v>200</v>
      </c>
      <c r="D134" s="82">
        <f>IF(AND($K$11&gt;0,$K$11&lt;=70),1,IF(AND($K$11&gt;70,$K$11&lt;=150),1,IF(AND($K$11&gt;150),1)))</f>
        <v>1</v>
      </c>
      <c r="E134" s="82">
        <f>$K$90*$K$145</f>
        <v>80</v>
      </c>
      <c r="F134" s="82" t="s">
        <v>118</v>
      </c>
      <c r="G134" s="83">
        <f>INDEX('TPU MAR-24'!$D$9:$D$999,MATCH(B134,'TPU MAR-24'!$A$9:$A$999,0))</f>
        <v>94.41</v>
      </c>
      <c r="H134" s="83">
        <f>D134*E134*G134</f>
        <v>7552.7999999999993</v>
      </c>
      <c r="J134" s="42" t="s">
        <v>889</v>
      </c>
      <c r="K134" s="42">
        <v>3</v>
      </c>
    </row>
    <row r="135" spans="1:11" x14ac:dyDescent="0.2">
      <c r="A135" s="88"/>
      <c r="B135" s="84" t="s">
        <v>146</v>
      </c>
      <c r="C135" s="81" t="s">
        <v>147</v>
      </c>
      <c r="D135" s="82">
        <f>IF(AND($K$11&gt;0,$K$11&lt;=70),1,IF(AND($K$11&gt;70,$K$11&lt;=150),1,IF(AND($K$11&gt;150),1)))</f>
        <v>1</v>
      </c>
      <c r="E135" s="82">
        <f>2*$K$145</f>
        <v>16</v>
      </c>
      <c r="F135" s="82" t="s">
        <v>118</v>
      </c>
      <c r="G135" s="83">
        <f>INDEX('TPU MAR-24'!$D$9:$D$999,MATCH(B135,'TPU MAR-24'!$A$9:$A$999,0))</f>
        <v>46.06</v>
      </c>
      <c r="H135" s="83">
        <f>D135*E135*G135</f>
        <v>736.96</v>
      </c>
    </row>
    <row r="136" spans="1:11" x14ac:dyDescent="0.2">
      <c r="C136" s="351" t="s">
        <v>1015</v>
      </c>
      <c r="D136" s="352"/>
      <c r="E136" s="352"/>
      <c r="F136" s="352"/>
      <c r="G136" s="352"/>
      <c r="H136" s="353"/>
      <c r="J136" s="175" t="s">
        <v>515</v>
      </c>
      <c r="K136" s="190">
        <v>196</v>
      </c>
    </row>
    <row r="137" spans="1:11" x14ac:dyDescent="0.2">
      <c r="A137" s="88"/>
      <c r="B137" s="84" t="s">
        <v>140</v>
      </c>
      <c r="C137" s="81" t="s">
        <v>1013</v>
      </c>
      <c r="D137" s="82">
        <f>IF(AND($K$11&gt;0,$K$11&lt;=70),1,IF(AND($K$11&gt;70,$K$11&lt;=150),1,IF(AND($K$11&gt;150),1)))</f>
        <v>1</v>
      </c>
      <c r="E137" s="82">
        <f>($K$91*$K$146)+($K$149*$K$146)</f>
        <v>230</v>
      </c>
      <c r="F137" s="82" t="s">
        <v>118</v>
      </c>
      <c r="G137" s="83">
        <f>INDEX('TPU MAR-24'!$D$9:$D$999,MATCH(B137,'TPU MAR-24'!$A$9:$A$999,0))</f>
        <v>213.54</v>
      </c>
      <c r="H137" s="83">
        <f>D137*E137*G137</f>
        <v>49114.2</v>
      </c>
      <c r="J137" s="175" t="s">
        <v>517</v>
      </c>
      <c r="K137" s="175">
        <v>4</v>
      </c>
    </row>
    <row r="138" spans="1:11" x14ac:dyDescent="0.2">
      <c r="A138" s="88"/>
      <c r="B138" s="84" t="s">
        <v>153</v>
      </c>
      <c r="C138" s="81" t="s">
        <v>154</v>
      </c>
      <c r="D138" s="82">
        <f>IF(AND($K$11&gt;0,$K$11&lt;=70),1,IF(AND($K$11&gt;70,$K$11&lt;=150),1,IF(AND($K$11&gt;150),1)))</f>
        <v>1</v>
      </c>
      <c r="E138" s="82">
        <f>($K$91*$K$146)</f>
        <v>220</v>
      </c>
      <c r="F138" s="82" t="s">
        <v>118</v>
      </c>
      <c r="G138" s="83">
        <f>INDEX('TPU MAR-24'!$D$9:$D$999,MATCH(B138,'TPU MAR-24'!$A$9:$A$999,0))</f>
        <v>25.5</v>
      </c>
      <c r="H138" s="83">
        <f>D138*E138*G138</f>
        <v>5610</v>
      </c>
      <c r="J138" s="175" t="s">
        <v>518</v>
      </c>
      <c r="K138" s="175">
        <v>8</v>
      </c>
    </row>
    <row r="139" spans="1:11" x14ac:dyDescent="0.2">
      <c r="C139" s="354" t="s">
        <v>179</v>
      </c>
      <c r="D139" s="355"/>
      <c r="E139" s="355"/>
      <c r="F139" s="355"/>
      <c r="G139" s="356"/>
      <c r="H139" s="89">
        <f>SUM(H132:H138)</f>
        <v>107030.91999999998</v>
      </c>
      <c r="J139" s="175" t="s">
        <v>520</v>
      </c>
      <c r="K139" s="175">
        <f>ROUNDUP(($K$136/$K$138),0)</f>
        <v>25</v>
      </c>
    </row>
    <row r="140" spans="1:11" x14ac:dyDescent="0.2">
      <c r="C140" s="351" t="s">
        <v>1017</v>
      </c>
      <c r="D140" s="352"/>
      <c r="E140" s="352"/>
      <c r="F140" s="352"/>
      <c r="G140" s="352"/>
      <c r="H140" s="353"/>
      <c r="J140" s="175" t="s">
        <v>521</v>
      </c>
      <c r="K140" s="175">
        <f>ROUNDUP(($K$136/$K$137),0)</f>
        <v>49</v>
      </c>
    </row>
    <row r="141" spans="1:11" x14ac:dyDescent="0.2">
      <c r="C141" s="81" t="s">
        <v>1031</v>
      </c>
      <c r="D141" s="82">
        <f>IF(AND($K$11&gt;0,$K$11&lt;=70),1,IF(AND($K$11&gt;70,$K$11&lt;=150),1,IF(AND($K$11&gt;150),1)))</f>
        <v>1</v>
      </c>
      <c r="E141" s="82">
        <f>($K$91+$K$149)</f>
        <v>23</v>
      </c>
      <c r="F141" s="82" t="s">
        <v>161</v>
      </c>
      <c r="G141" s="83">
        <f>'TPU MAR-24'!$C$52</f>
        <v>318.24</v>
      </c>
      <c r="H141" s="83">
        <f t="shared" ref="H141:H146" si="12">D141*E141*G141</f>
        <v>7319.52</v>
      </c>
      <c r="J141" s="175" t="s">
        <v>523</v>
      </c>
      <c r="K141" s="175">
        <f>3*12</f>
        <v>36</v>
      </c>
    </row>
    <row r="142" spans="1:11" x14ac:dyDescent="0.2">
      <c r="C142" s="81" t="s">
        <v>165</v>
      </c>
      <c r="D142" s="82">
        <f>IF(AND($K$11&gt;0,$K$11&lt;=70),1,IF(AND($K$11&gt;70,$K$11&lt;=150),1,IF(AND($K$11&gt;150),1)))</f>
        <v>1</v>
      </c>
      <c r="E142" s="82">
        <f>($K$91)</f>
        <v>22</v>
      </c>
      <c r="F142" s="82" t="s">
        <v>161</v>
      </c>
      <c r="G142" s="83">
        <f>'TPU MAR-24'!$C$53</f>
        <v>159.12</v>
      </c>
      <c r="H142" s="83">
        <f t="shared" si="12"/>
        <v>3500.6400000000003</v>
      </c>
      <c r="J142" s="175" t="s">
        <v>524</v>
      </c>
      <c r="K142" s="175">
        <v>24</v>
      </c>
    </row>
    <row r="143" spans="1:11" x14ac:dyDescent="0.2">
      <c r="C143" s="81" t="s">
        <v>1032</v>
      </c>
      <c r="D143" s="26">
        <v>1</v>
      </c>
      <c r="E143" s="82">
        <v>1</v>
      </c>
      <c r="F143" s="82" t="s">
        <v>161</v>
      </c>
      <c r="G143" s="83">
        <f>$K$96</f>
        <v>1000</v>
      </c>
      <c r="H143" s="83">
        <f t="shared" si="12"/>
        <v>1000</v>
      </c>
      <c r="J143" s="175" t="s">
        <v>525</v>
      </c>
      <c r="K143" s="175">
        <v>4</v>
      </c>
    </row>
    <row r="144" spans="1:11" x14ac:dyDescent="0.2">
      <c r="C144" s="81" t="s">
        <v>167</v>
      </c>
      <c r="D144" s="26">
        <v>1</v>
      </c>
      <c r="E144" s="82">
        <v>1</v>
      </c>
      <c r="F144" s="82" t="s">
        <v>168</v>
      </c>
      <c r="G144" s="93">
        <v>1500</v>
      </c>
      <c r="H144" s="83">
        <f t="shared" si="12"/>
        <v>1500</v>
      </c>
    </row>
    <row r="145" spans="1:11" x14ac:dyDescent="0.2">
      <c r="C145" s="81" t="s">
        <v>170</v>
      </c>
      <c r="D145" s="26">
        <v>1</v>
      </c>
      <c r="E145" s="82">
        <f>($K$91+$K$149)</f>
        <v>23</v>
      </c>
      <c r="F145" s="26" t="s">
        <v>161</v>
      </c>
      <c r="G145" s="95">
        <f>'TPU MAR-24'!$D$42</f>
        <v>193.64</v>
      </c>
      <c r="H145" s="83">
        <f t="shared" si="12"/>
        <v>4453.7199999999993</v>
      </c>
      <c r="J145" s="42" t="s">
        <v>122</v>
      </c>
      <c r="K145" s="42">
        <v>8</v>
      </c>
    </row>
    <row r="146" spans="1:11" x14ac:dyDescent="0.2">
      <c r="C146" s="81" t="s">
        <v>401</v>
      </c>
      <c r="D146" s="26">
        <f>D138</f>
        <v>1</v>
      </c>
      <c r="E146" s="151">
        <f>$K$18</f>
        <v>280</v>
      </c>
      <c r="F146" s="26" t="s">
        <v>173</v>
      </c>
      <c r="G146" s="95">
        <f>'TPU MAR-24'!$D$40</f>
        <v>1.29</v>
      </c>
      <c r="H146" s="83">
        <f t="shared" si="12"/>
        <v>361.2</v>
      </c>
      <c r="J146" s="42" t="s">
        <v>125</v>
      </c>
      <c r="K146" s="42">
        <v>10</v>
      </c>
    </row>
    <row r="147" spans="1:11" x14ac:dyDescent="0.2">
      <c r="C147" s="354" t="s">
        <v>179</v>
      </c>
      <c r="D147" s="355"/>
      <c r="E147" s="355"/>
      <c r="F147" s="355"/>
      <c r="G147" s="356"/>
      <c r="H147" s="97">
        <f>SUM(H141:H146)</f>
        <v>18135.079999999998</v>
      </c>
      <c r="J147" s="42" t="s">
        <v>127</v>
      </c>
      <c r="K147" s="42">
        <v>5</v>
      </c>
    </row>
    <row r="148" spans="1:11" x14ac:dyDescent="0.2">
      <c r="C148" s="354" t="s">
        <v>1035</v>
      </c>
      <c r="D148" s="355"/>
      <c r="E148" s="355"/>
      <c r="F148" s="355"/>
      <c r="G148" s="356"/>
      <c r="H148" s="89">
        <f>H139+H147</f>
        <v>125165.99999999999</v>
      </c>
      <c r="J148" s="42" t="s">
        <v>130</v>
      </c>
      <c r="K148" s="42">
        <v>4</v>
      </c>
    </row>
    <row r="149" spans="1:11" x14ac:dyDescent="0.2">
      <c r="C149" s="351" t="s">
        <v>1018</v>
      </c>
      <c r="D149" s="352"/>
      <c r="E149" s="352"/>
      <c r="F149" s="352"/>
      <c r="G149" s="352"/>
      <c r="H149" s="353"/>
      <c r="J149" s="42" t="s">
        <v>119</v>
      </c>
      <c r="K149" s="42">
        <v>1</v>
      </c>
    </row>
    <row r="150" spans="1:11" x14ac:dyDescent="0.2">
      <c r="A150" s="112"/>
      <c r="B150" s="80" t="s">
        <v>123</v>
      </c>
      <c r="C150" s="81" t="s">
        <v>1014</v>
      </c>
      <c r="D150" s="82">
        <f>IF(AND($K$11&gt;0,$K$11&lt;=70),1,IF(AND($K$11&gt;70,$K$11&lt;=150),1,IF(AND($K$11&gt;150),1)))</f>
        <v>1</v>
      </c>
      <c r="E150" s="82">
        <f>$K$92*$K$145</f>
        <v>8</v>
      </c>
      <c r="F150" s="82" t="s">
        <v>118</v>
      </c>
      <c r="G150" s="83">
        <f>INDEX('TPU MAR-24'!$D$9:$D$999,MATCH(B150,'TPU MAR-24'!$A$9:$A$999,0))</f>
        <v>268.08</v>
      </c>
      <c r="H150" s="83">
        <f>D150*E150*G150</f>
        <v>2144.64</v>
      </c>
      <c r="J150" s="42" t="s">
        <v>434</v>
      </c>
      <c r="K150" s="42">
        <f>'TPU MAR-24'!$D$49</f>
        <v>176</v>
      </c>
    </row>
    <row r="151" spans="1:11" x14ac:dyDescent="0.2">
      <c r="A151" s="88"/>
      <c r="B151" s="84" t="s">
        <v>140</v>
      </c>
      <c r="C151" s="81" t="s">
        <v>1013</v>
      </c>
      <c r="D151" s="82">
        <f>IF(AND($K$11&gt;0,$K$11&lt;=70),1,IF(AND($K$11&gt;70,$K$11&lt;=150),1,IF(AND($K$11&gt;150),1)))</f>
        <v>1</v>
      </c>
      <c r="E151" s="82">
        <f>$K$93*$K$145</f>
        <v>48</v>
      </c>
      <c r="F151" s="82" t="s">
        <v>118</v>
      </c>
      <c r="G151" s="83">
        <f>INDEX('TPU MAR-24'!$D$9:$D$999,MATCH(B151,'TPU MAR-24'!$A$9:$A$999,0))</f>
        <v>213.54</v>
      </c>
      <c r="H151" s="83">
        <f>D151*E151*G151</f>
        <v>10249.92</v>
      </c>
    </row>
    <row r="152" spans="1:11" x14ac:dyDescent="0.2">
      <c r="A152" s="88"/>
      <c r="B152" s="84" t="s">
        <v>143</v>
      </c>
      <c r="C152" s="81" t="s">
        <v>200</v>
      </c>
      <c r="D152" s="82">
        <f>IF(AND($K$11&gt;0,$K$11&lt;=70),1,IF(AND($K$11&gt;70,$K$11&lt;=150),1,IF(AND($K$11&gt;150),1)))</f>
        <v>1</v>
      </c>
      <c r="E152" s="82">
        <f>$K$94*$K$145</f>
        <v>8</v>
      </c>
      <c r="F152" s="82" t="s">
        <v>118</v>
      </c>
      <c r="G152" s="83">
        <f>INDEX('TPU MAR-24'!$D$9:$D$999,MATCH(B152,'TPU MAR-24'!$A$9:$A$999,0))</f>
        <v>94.41</v>
      </c>
      <c r="H152" s="83">
        <f>D152*E152*G152</f>
        <v>755.28</v>
      </c>
    </row>
    <row r="153" spans="1:11" x14ac:dyDescent="0.2">
      <c r="A153" s="88"/>
      <c r="B153" s="84" t="s">
        <v>146</v>
      </c>
      <c r="C153" s="81" t="s">
        <v>147</v>
      </c>
      <c r="D153" s="82">
        <f>IF(AND($K$11&gt;0,$K$11&lt;=70),1,IF(AND($K$11&gt;70,$K$11&lt;=150),1,IF(AND($K$11&gt;150),1)))</f>
        <v>1</v>
      </c>
      <c r="E153" s="82">
        <f>(ROUNDUP($K$82/$K$84,0)*$K$145)/4</f>
        <v>4</v>
      </c>
      <c r="F153" s="82" t="s">
        <v>118</v>
      </c>
      <c r="G153" s="83">
        <f>INDEX('TPU MAR-24'!$D$9:$D$999,MATCH(B153,'TPU MAR-24'!$A$9:$A$999,0))</f>
        <v>46.06</v>
      </c>
      <c r="H153" s="83">
        <f>D153*E153*G153</f>
        <v>184.24</v>
      </c>
    </row>
    <row r="154" spans="1:11" x14ac:dyDescent="0.2">
      <c r="C154" s="351" t="s">
        <v>1018</v>
      </c>
      <c r="D154" s="352"/>
      <c r="E154" s="352"/>
      <c r="F154" s="352"/>
      <c r="G154" s="352"/>
      <c r="H154" s="353"/>
    </row>
    <row r="155" spans="1:11" x14ac:dyDescent="0.2">
      <c r="A155" s="88"/>
      <c r="B155" s="84" t="s">
        <v>140</v>
      </c>
      <c r="C155" s="81" t="s">
        <v>1013</v>
      </c>
      <c r="D155" s="82">
        <f>IF(AND($K$11&gt;0,$K$11&lt;=70),1,IF(AND($K$11&gt;70,$K$11&lt;=150),1,IF(AND($K$11&gt;150),1)))</f>
        <v>1</v>
      </c>
      <c r="E155" s="82">
        <f>($K$95*$K$146)+($K$149*$K$146)</f>
        <v>60</v>
      </c>
      <c r="F155" s="82" t="s">
        <v>118</v>
      </c>
      <c r="G155" s="83">
        <f>INDEX('TPU MAR-24'!$D$9:$D$999,MATCH(B155,'TPU MAR-24'!$A$9:$A$999,0))</f>
        <v>213.54</v>
      </c>
      <c r="H155" s="83">
        <f>D155*E155*G155</f>
        <v>12812.4</v>
      </c>
    </row>
    <row r="156" spans="1:11" x14ac:dyDescent="0.2">
      <c r="A156" s="88"/>
      <c r="B156" s="84" t="s">
        <v>153</v>
      </c>
      <c r="C156" s="81" t="s">
        <v>154</v>
      </c>
      <c r="D156" s="82">
        <f>IF(AND($K$11&gt;0,$K$11&lt;=70),1,IF(AND($K$11&gt;70,$K$11&lt;=150),1,IF(AND($K$11&gt;150),1)))</f>
        <v>1</v>
      </c>
      <c r="E156" s="82">
        <f>($K$95*$K$146)</f>
        <v>50</v>
      </c>
      <c r="F156" s="82" t="s">
        <v>118</v>
      </c>
      <c r="G156" s="83">
        <f>INDEX('TPU MAR-24'!$D$9:$D$999,MATCH(B156,'TPU MAR-24'!$A$9:$A$999,0))</f>
        <v>25.5</v>
      </c>
      <c r="H156" s="83">
        <f>D156*E156*G156</f>
        <v>1275</v>
      </c>
    </row>
    <row r="157" spans="1:11" x14ac:dyDescent="0.2">
      <c r="C157" s="354" t="s">
        <v>179</v>
      </c>
      <c r="D157" s="355"/>
      <c r="E157" s="355"/>
      <c r="F157" s="355"/>
      <c r="G157" s="356"/>
      <c r="H157" s="89">
        <f>SUM(H150:H156)</f>
        <v>27421.48</v>
      </c>
    </row>
    <row r="158" spans="1:11" x14ac:dyDescent="0.2">
      <c r="C158" s="351" t="s">
        <v>1019</v>
      </c>
      <c r="D158" s="352"/>
      <c r="E158" s="352"/>
      <c r="F158" s="352"/>
      <c r="G158" s="352"/>
      <c r="H158" s="353"/>
    </row>
    <row r="159" spans="1:11" x14ac:dyDescent="0.2">
      <c r="C159" s="81" t="s">
        <v>1031</v>
      </c>
      <c r="D159" s="82">
        <f>IF(AND($K$11&gt;0,$K$11&lt;=70),1,IF(AND($K$11&gt;70,$K$11&lt;=150),1,IF(AND($K$11&gt;150),1)))</f>
        <v>1</v>
      </c>
      <c r="E159" s="82">
        <f>($K$95)+($K$149)</f>
        <v>6</v>
      </c>
      <c r="F159" s="82" t="s">
        <v>161</v>
      </c>
      <c r="G159" s="83">
        <f>'TPU MAR-24'!$C$52</f>
        <v>318.24</v>
      </c>
      <c r="H159" s="83">
        <f t="shared" ref="H159:H164" si="13">D159*E159*G159</f>
        <v>1909.44</v>
      </c>
    </row>
    <row r="160" spans="1:11" x14ac:dyDescent="0.2">
      <c r="C160" s="81" t="s">
        <v>165</v>
      </c>
      <c r="D160" s="82">
        <f>IF(AND($K$11&gt;0,$K$11&lt;=70),1,IF(AND($K$11&gt;70,$K$11&lt;=150),1,IF(AND($K$11&gt;150),1)))</f>
        <v>1</v>
      </c>
      <c r="E160" s="82">
        <f>($K$95)</f>
        <v>5</v>
      </c>
      <c r="F160" s="82" t="s">
        <v>161</v>
      </c>
      <c r="G160" s="83">
        <f>'TPU MAR-24'!$C$53</f>
        <v>159.12</v>
      </c>
      <c r="H160" s="83">
        <f t="shared" si="13"/>
        <v>795.6</v>
      </c>
    </row>
    <row r="161" spans="1:8" x14ac:dyDescent="0.2">
      <c r="C161" s="81" t="s">
        <v>1032</v>
      </c>
      <c r="D161" s="26">
        <v>1</v>
      </c>
      <c r="E161" s="82">
        <v>1</v>
      </c>
      <c r="F161" s="82" t="s">
        <v>161</v>
      </c>
      <c r="G161" s="83">
        <f>$K$86</f>
        <v>2000</v>
      </c>
      <c r="H161" s="83">
        <f t="shared" si="13"/>
        <v>2000</v>
      </c>
    </row>
    <row r="162" spans="1:8" x14ac:dyDescent="0.2">
      <c r="C162" s="81" t="s">
        <v>167</v>
      </c>
      <c r="D162" s="26">
        <v>1</v>
      </c>
      <c r="E162" s="82">
        <v>1</v>
      </c>
      <c r="F162" s="82" t="s">
        <v>168</v>
      </c>
      <c r="G162" s="83">
        <f>$K$96</f>
        <v>1000</v>
      </c>
      <c r="H162" s="83">
        <f t="shared" si="13"/>
        <v>1000</v>
      </c>
    </row>
    <row r="163" spans="1:8" x14ac:dyDescent="0.2">
      <c r="C163" s="81" t="s">
        <v>170</v>
      </c>
      <c r="D163" s="26">
        <v>1</v>
      </c>
      <c r="E163" s="82">
        <f>($K$95)+($K$149)</f>
        <v>6</v>
      </c>
      <c r="F163" s="26" t="s">
        <v>161</v>
      </c>
      <c r="G163" s="95">
        <f>'TPU MAR-24'!$D$42</f>
        <v>193.64</v>
      </c>
      <c r="H163" s="83">
        <f t="shared" si="13"/>
        <v>1161.8399999999999</v>
      </c>
    </row>
    <row r="164" spans="1:8" x14ac:dyDescent="0.2">
      <c r="C164" s="81" t="s">
        <v>401</v>
      </c>
      <c r="D164" s="26">
        <f>D156</f>
        <v>1</v>
      </c>
      <c r="E164" s="151">
        <f>$K$18</f>
        <v>280</v>
      </c>
      <c r="F164" s="26" t="s">
        <v>173</v>
      </c>
      <c r="G164" s="95">
        <f>'TPU MAR-24'!$D$40</f>
        <v>1.29</v>
      </c>
      <c r="H164" s="83">
        <f t="shared" si="13"/>
        <v>361.2</v>
      </c>
    </row>
    <row r="165" spans="1:8" x14ac:dyDescent="0.2">
      <c r="C165" s="354" t="s">
        <v>179</v>
      </c>
      <c r="D165" s="355"/>
      <c r="E165" s="355"/>
      <c r="F165" s="355"/>
      <c r="G165" s="356"/>
      <c r="H165" s="97">
        <f>SUM(H159:H164)</f>
        <v>7228.08</v>
      </c>
    </row>
    <row r="166" spans="1:8" x14ac:dyDescent="0.2">
      <c r="C166" s="354" t="s">
        <v>219</v>
      </c>
      <c r="D166" s="355"/>
      <c r="E166" s="355"/>
      <c r="F166" s="355"/>
      <c r="G166" s="356"/>
      <c r="H166" s="89">
        <f>H157+H165</f>
        <v>34649.56</v>
      </c>
    </row>
    <row r="167" spans="1:8" x14ac:dyDescent="0.2">
      <c r="C167" s="354" t="s">
        <v>1034</v>
      </c>
      <c r="D167" s="355"/>
      <c r="E167" s="355"/>
      <c r="F167" s="356"/>
      <c r="G167" s="102">
        <v>12</v>
      </c>
      <c r="H167" s="89">
        <f>H166*G167</f>
        <v>415794.72</v>
      </c>
    </row>
    <row r="168" spans="1:8" x14ac:dyDescent="0.2">
      <c r="C168" s="354" t="s">
        <v>1033</v>
      </c>
      <c r="D168" s="355"/>
      <c r="E168" s="355"/>
      <c r="F168" s="356"/>
      <c r="G168" s="102">
        <f>($K$129-$K$127)/$K$98</f>
        <v>9</v>
      </c>
      <c r="H168" s="89">
        <f>H166*G168</f>
        <v>311846.03999999998</v>
      </c>
    </row>
    <row r="169" spans="1:8" x14ac:dyDescent="0.2">
      <c r="C169" s="118"/>
      <c r="D169" s="118"/>
      <c r="E169" s="118"/>
      <c r="F169" s="118"/>
      <c r="G169" s="118"/>
      <c r="H169" s="118"/>
    </row>
    <row r="170" spans="1:8" x14ac:dyDescent="0.2">
      <c r="C170" s="118"/>
      <c r="D170" s="118"/>
      <c r="E170" s="118"/>
      <c r="F170" s="118"/>
      <c r="G170" s="118"/>
      <c r="H170" s="118"/>
    </row>
    <row r="171" spans="1:8" x14ac:dyDescent="0.2">
      <c r="A171" s="48" t="str">
        <f>CAPEX!$A$39</f>
        <v>6.9</v>
      </c>
      <c r="B171" s="77"/>
      <c r="C171" s="349" t="str">
        <f>CAPEX!$B$39</f>
        <v>Plano de Controle Ambiental da Construção – PCA - Gestão de Riscos e Plano de Ação em Emergências</v>
      </c>
      <c r="D171" s="350"/>
      <c r="E171" s="350"/>
      <c r="F171" s="350"/>
      <c r="G171" s="350"/>
      <c r="H171" s="145">
        <f>H182</f>
        <v>1180477.4400000002</v>
      </c>
    </row>
    <row r="172" spans="1:8" ht="24" x14ac:dyDescent="0.2">
      <c r="C172" s="45" t="s">
        <v>109</v>
      </c>
      <c r="D172" s="45" t="s">
        <v>28</v>
      </c>
      <c r="E172" s="45" t="s">
        <v>110</v>
      </c>
      <c r="F172" s="45" t="s">
        <v>111</v>
      </c>
      <c r="G172" s="45" t="s">
        <v>112</v>
      </c>
      <c r="H172" s="78" t="s">
        <v>113</v>
      </c>
    </row>
    <row r="173" spans="1:8" x14ac:dyDescent="0.2">
      <c r="C173" s="351" t="s">
        <v>149</v>
      </c>
      <c r="D173" s="352"/>
      <c r="E173" s="352"/>
      <c r="F173" s="352"/>
      <c r="G173" s="352"/>
      <c r="H173" s="353"/>
    </row>
    <row r="174" spans="1:8" x14ac:dyDescent="0.2">
      <c r="A174" s="112"/>
      <c r="B174" s="80" t="s">
        <v>701</v>
      </c>
      <c r="C174" s="81" t="s">
        <v>891</v>
      </c>
      <c r="D174" s="82">
        <v>1</v>
      </c>
      <c r="E174" s="82">
        <f>$K$150</f>
        <v>176</v>
      </c>
      <c r="F174" s="82" t="s">
        <v>118</v>
      </c>
      <c r="G174" s="83">
        <f>INDEX('TPU MAR-24'!$D$9:$D$999,MATCH(B174,'TPU MAR-24'!$A$9:$A$999,0))</f>
        <v>50.43</v>
      </c>
      <c r="H174" s="83">
        <f>D174*E174*G174</f>
        <v>8875.68</v>
      </c>
    </row>
    <row r="175" spans="1:8" x14ac:dyDescent="0.2">
      <c r="C175" s="354" t="s">
        <v>179</v>
      </c>
      <c r="D175" s="355"/>
      <c r="E175" s="355"/>
      <c r="F175" s="355"/>
      <c r="G175" s="356"/>
      <c r="H175" s="89">
        <f>SUM(H173:H174)</f>
        <v>8875.68</v>
      </c>
    </row>
    <row r="176" spans="1:8" x14ac:dyDescent="0.2">
      <c r="C176" s="351" t="s">
        <v>158</v>
      </c>
      <c r="D176" s="352"/>
      <c r="E176" s="352"/>
      <c r="F176" s="352"/>
      <c r="G176" s="352"/>
      <c r="H176" s="353"/>
    </row>
    <row r="177" spans="1:8" x14ac:dyDescent="0.2">
      <c r="C177" s="81" t="s">
        <v>892</v>
      </c>
      <c r="D177" s="26">
        <f>D174</f>
        <v>1</v>
      </c>
      <c r="E177" s="82">
        <v>30</v>
      </c>
      <c r="F177" s="82" t="s">
        <v>161</v>
      </c>
      <c r="G177" s="83">
        <f>'TPU MAR-24'!$C$52</f>
        <v>318.24</v>
      </c>
      <c r="H177" s="83">
        <f t="shared" ref="H177" si="14">D177*E177*G177</f>
        <v>9547.2000000000007</v>
      </c>
    </row>
    <row r="178" spans="1:8" x14ac:dyDescent="0.2">
      <c r="C178" s="81" t="s">
        <v>170</v>
      </c>
      <c r="D178" s="26">
        <f>D174</f>
        <v>1</v>
      </c>
      <c r="E178" s="26">
        <v>30</v>
      </c>
      <c r="F178" s="26" t="s">
        <v>161</v>
      </c>
      <c r="G178" s="95">
        <f>'TPU MAR-24'!$D$42</f>
        <v>193.64</v>
      </c>
      <c r="H178" s="83">
        <f t="shared" ref="H178:H179" si="15">D178*E178*G178</f>
        <v>5809.2</v>
      </c>
    </row>
    <row r="179" spans="1:8" x14ac:dyDescent="0.2">
      <c r="C179" s="81" t="s">
        <v>401</v>
      </c>
      <c r="D179" s="26">
        <f>D174</f>
        <v>1</v>
      </c>
      <c r="E179" s="151">
        <f>$K$18</f>
        <v>280</v>
      </c>
      <c r="F179" s="26" t="s">
        <v>173</v>
      </c>
      <c r="G179" s="95">
        <f>'TPU MAR-24'!$D$40</f>
        <v>1.29</v>
      </c>
      <c r="H179" s="83">
        <f t="shared" si="15"/>
        <v>361.2</v>
      </c>
    </row>
    <row r="180" spans="1:8" x14ac:dyDescent="0.2">
      <c r="C180" s="354" t="s">
        <v>179</v>
      </c>
      <c r="D180" s="355"/>
      <c r="E180" s="355"/>
      <c r="F180" s="355"/>
      <c r="G180" s="356"/>
      <c r="H180" s="97">
        <f>SUM(H177:H179)</f>
        <v>15717.600000000002</v>
      </c>
    </row>
    <row r="181" spans="1:8" x14ac:dyDescent="0.2">
      <c r="C181" s="354" t="s">
        <v>480</v>
      </c>
      <c r="D181" s="355"/>
      <c r="E181" s="355"/>
      <c r="F181" s="355"/>
      <c r="G181" s="356"/>
      <c r="H181" s="89">
        <f>H175+H180</f>
        <v>24593.280000000002</v>
      </c>
    </row>
    <row r="182" spans="1:8" x14ac:dyDescent="0.2">
      <c r="C182" s="357" t="s">
        <v>267</v>
      </c>
      <c r="D182" s="357"/>
      <c r="E182" s="357"/>
      <c r="F182" s="357"/>
      <c r="G182" s="102">
        <f>$K$129</f>
        <v>48</v>
      </c>
      <c r="H182" s="89">
        <f>H181*G182</f>
        <v>1180477.4400000002</v>
      </c>
    </row>
    <row r="183" spans="1:8" x14ac:dyDescent="0.2">
      <c r="C183" s="118"/>
      <c r="D183" s="118"/>
      <c r="E183" s="118"/>
      <c r="F183" s="118"/>
      <c r="G183" s="118"/>
      <c r="H183" s="118"/>
    </row>
    <row r="184" spans="1:8" x14ac:dyDescent="0.2">
      <c r="C184" s="118"/>
      <c r="D184" s="118"/>
      <c r="E184" s="118"/>
      <c r="F184" s="118"/>
      <c r="G184" s="118"/>
      <c r="H184" s="118"/>
    </row>
    <row r="185" spans="1:8" x14ac:dyDescent="0.2">
      <c r="A185" s="48" t="str">
        <f>CAPEX!$A$40</f>
        <v>6.10</v>
      </c>
      <c r="B185" s="77"/>
      <c r="C185" s="349" t="str">
        <f>CAPEX!$B$40</f>
        <v>Subprograma de Monitoramento da Qualidade das Águas</v>
      </c>
      <c r="D185" s="350"/>
      <c r="E185" s="350"/>
      <c r="F185" s="350"/>
      <c r="G185" s="350"/>
      <c r="H185" s="145">
        <f>H206</f>
        <v>271814.16000000003</v>
      </c>
    </row>
    <row r="186" spans="1:8" ht="24" x14ac:dyDescent="0.2">
      <c r="C186" s="45" t="s">
        <v>109</v>
      </c>
      <c r="D186" s="45" t="s">
        <v>28</v>
      </c>
      <c r="E186" s="45" t="s">
        <v>110</v>
      </c>
      <c r="F186" s="45" t="s">
        <v>111</v>
      </c>
      <c r="G186" s="45" t="s">
        <v>112</v>
      </c>
      <c r="H186" s="78" t="s">
        <v>113</v>
      </c>
    </row>
    <row r="187" spans="1:8" x14ac:dyDescent="0.2">
      <c r="C187" s="351" t="s">
        <v>115</v>
      </c>
      <c r="D187" s="352"/>
      <c r="E187" s="352"/>
      <c r="F187" s="352"/>
      <c r="G187" s="352"/>
      <c r="H187" s="353"/>
    </row>
    <row r="188" spans="1:8" x14ac:dyDescent="0.2">
      <c r="A188" s="88"/>
      <c r="B188" s="80" t="s">
        <v>120</v>
      </c>
      <c r="C188" s="81" t="s">
        <v>220</v>
      </c>
      <c r="D188" s="82">
        <f>IF(AND($K$11&gt;0,$K$11&lt;=70),1,IF(AND($K$11&gt;70,$K$11&lt;=150),1,IF(AND($K$11&gt;150),1)))</f>
        <v>1</v>
      </c>
      <c r="E188" s="82">
        <f>($K$108*$K$145)/4</f>
        <v>8</v>
      </c>
      <c r="F188" s="82" t="s">
        <v>118</v>
      </c>
      <c r="G188" s="83">
        <f>INDEX('TPU MAR-24'!$D$9:$D$999,MATCH(B188,'TPU MAR-24'!$A$9:$A$999,0))</f>
        <v>254.39</v>
      </c>
      <c r="H188" s="83">
        <f t="shared" ref="H188:H189" si="16">D188*E188*G188</f>
        <v>2035.12</v>
      </c>
    </row>
    <row r="189" spans="1:8" x14ac:dyDescent="0.2">
      <c r="A189" s="88"/>
      <c r="B189" s="84" t="s">
        <v>140</v>
      </c>
      <c r="C189" s="81" t="s">
        <v>221</v>
      </c>
      <c r="D189" s="82">
        <f>IF(AND($K$11&gt;0,$K$11&lt;=70),1,IF(AND($K$11&gt;70,$K$11&lt;=150),1,IF(AND($K$11&gt;150),1)))</f>
        <v>1</v>
      </c>
      <c r="E189" s="82">
        <f>($K$108*$K$145)/2</f>
        <v>16</v>
      </c>
      <c r="F189" s="82" t="s">
        <v>118</v>
      </c>
      <c r="G189" s="83">
        <f>INDEX('TPU MAR-24'!$D$9:$D$999,MATCH(B189,'TPU MAR-24'!$A$9:$A$999,0))</f>
        <v>213.54</v>
      </c>
      <c r="H189" s="83">
        <f t="shared" si="16"/>
        <v>3416.64</v>
      </c>
    </row>
    <row r="190" spans="1:8" x14ac:dyDescent="0.2">
      <c r="A190" s="88"/>
      <c r="B190" s="84" t="s">
        <v>143</v>
      </c>
      <c r="C190" s="81" t="s">
        <v>200</v>
      </c>
      <c r="D190" s="82">
        <f>IF(AND($K$11&gt;0,$K$11&lt;=70),1,IF(AND($K$11&gt;70,$K$11&lt;=150),1,IF(AND($K$11&gt;150),1)))</f>
        <v>1</v>
      </c>
      <c r="E190" s="82">
        <f>(ROUNDUP((($K$108/4)),0)*$K$145)/4</f>
        <v>2</v>
      </c>
      <c r="F190" s="82" t="s">
        <v>118</v>
      </c>
      <c r="G190" s="83">
        <f>INDEX('TPU MAR-24'!$D$9:$D$999,MATCH(B190,'TPU MAR-24'!$A$9:$A$999,0))</f>
        <v>94.41</v>
      </c>
      <c r="H190" s="83">
        <f>D190*E190*G190</f>
        <v>188.82</v>
      </c>
    </row>
    <row r="191" spans="1:8" x14ac:dyDescent="0.2">
      <c r="A191" s="88"/>
      <c r="B191" s="84" t="s">
        <v>146</v>
      </c>
      <c r="C191" s="81" t="s">
        <v>147</v>
      </c>
      <c r="D191" s="82">
        <f>IF(AND($K$11&gt;0,$K$11&lt;=70),1,IF(AND($K$11&gt;70,$K$11&lt;=150),1,IF(AND($K$11&gt;150),1)))</f>
        <v>1</v>
      </c>
      <c r="E191" s="82">
        <f>(ROUNDUP((($K$108/4)),0)*$K$145)/4</f>
        <v>2</v>
      </c>
      <c r="F191" s="82" t="s">
        <v>118</v>
      </c>
      <c r="G191" s="83">
        <f>INDEX('TPU MAR-24'!$D$9:$D$999,MATCH(B191,'TPU MAR-24'!$A$9:$A$999,0))</f>
        <v>46.06</v>
      </c>
      <c r="H191" s="83">
        <f t="shared" ref="H191" si="17">D191*E191*G191</f>
        <v>92.12</v>
      </c>
    </row>
    <row r="192" spans="1:8" x14ac:dyDescent="0.2">
      <c r="C192" s="351" t="s">
        <v>149</v>
      </c>
      <c r="D192" s="352"/>
      <c r="E192" s="352"/>
      <c r="F192" s="352"/>
      <c r="G192" s="352"/>
      <c r="H192" s="353"/>
    </row>
    <row r="193" spans="1:8" x14ac:dyDescent="0.2">
      <c r="A193" s="88"/>
      <c r="B193" s="84" t="s">
        <v>222</v>
      </c>
      <c r="C193" s="81" t="s">
        <v>223</v>
      </c>
      <c r="D193" s="82">
        <f>IF(AND($K$11&gt;0,$K$11&lt;=70),1,IF(AND($K$11&gt;70,$K$11&lt;=150),1,IF(AND($K$11&gt;150),1)))</f>
        <v>1</v>
      </c>
      <c r="E193" s="82">
        <f>ROUNDUP((($K$108/4)+$K$149),0)*$K$146</f>
        <v>20</v>
      </c>
      <c r="F193" s="82" t="s">
        <v>118</v>
      </c>
      <c r="G193" s="83">
        <f>INDEX('TPU MAR-24'!$D$9:$D$999,MATCH(B193,'TPU MAR-24'!$A$9:$A$999,0))</f>
        <v>41.65</v>
      </c>
      <c r="H193" s="83">
        <f>D193*E193*G193</f>
        <v>833</v>
      </c>
    </row>
    <row r="194" spans="1:8" x14ac:dyDescent="0.2">
      <c r="A194" s="88"/>
      <c r="B194" s="84" t="s">
        <v>204</v>
      </c>
      <c r="C194" s="81" t="s">
        <v>205</v>
      </c>
      <c r="D194" s="82">
        <f>IF(AND($K$11&gt;0,$K$11&lt;=70),1,IF(AND($K$11&gt;70,$K$11&lt;=150),1,IF(AND($K$11&gt;150),1)))</f>
        <v>1</v>
      </c>
      <c r="E194" s="82">
        <f>ROUNDUP((($K$108/4)),0)*$K$146</f>
        <v>10</v>
      </c>
      <c r="F194" s="82" t="s">
        <v>118</v>
      </c>
      <c r="G194" s="83">
        <f>INDEX('TPU MAR-24'!$D$9:$D$999,MATCH(B194,'TPU MAR-24'!$A$9:$A$999,0))</f>
        <v>24.14</v>
      </c>
      <c r="H194" s="83">
        <f>D194*E194*G194</f>
        <v>241.4</v>
      </c>
    </row>
    <row r="195" spans="1:8" x14ac:dyDescent="0.2">
      <c r="C195" s="354" t="s">
        <v>179</v>
      </c>
      <c r="D195" s="355"/>
      <c r="E195" s="355"/>
      <c r="F195" s="355"/>
      <c r="G195" s="356"/>
      <c r="H195" s="89">
        <f>SUM(H188:H194)</f>
        <v>6807.0999999999995</v>
      </c>
    </row>
    <row r="196" spans="1:8" x14ac:dyDescent="0.2">
      <c r="C196" s="351" t="s">
        <v>158</v>
      </c>
      <c r="D196" s="352"/>
      <c r="E196" s="352"/>
      <c r="F196" s="352"/>
      <c r="G196" s="352"/>
      <c r="H196" s="353"/>
    </row>
    <row r="197" spans="1:8" x14ac:dyDescent="0.2">
      <c r="C197" s="81" t="s">
        <v>224</v>
      </c>
      <c r="D197" s="26">
        <f>D193</f>
        <v>1</v>
      </c>
      <c r="E197" s="82">
        <f>ROUNDUP((($K$108/4)+$K$149),0)</f>
        <v>2</v>
      </c>
      <c r="F197" s="82" t="s">
        <v>161</v>
      </c>
      <c r="G197" s="83">
        <f>'TPU MAR-24'!$C$52</f>
        <v>318.24</v>
      </c>
      <c r="H197" s="83">
        <f t="shared" ref="H197:H199" si="18">D197*E197*G197</f>
        <v>636.48</v>
      </c>
    </row>
    <row r="198" spans="1:8" x14ac:dyDescent="0.2">
      <c r="C198" s="81" t="s">
        <v>225</v>
      </c>
      <c r="D198" s="26">
        <f>D194</f>
        <v>1</v>
      </c>
      <c r="E198" s="82">
        <f>ROUNDUP((($K$108/4)),0)</f>
        <v>1</v>
      </c>
      <c r="F198" s="82" t="s">
        <v>161</v>
      </c>
      <c r="G198" s="83">
        <f>'TPU MAR-24'!$C$53</f>
        <v>159.12</v>
      </c>
      <c r="H198" s="83">
        <f t="shared" si="18"/>
        <v>159.12</v>
      </c>
    </row>
    <row r="199" spans="1:8" x14ac:dyDescent="0.2">
      <c r="C199" s="81" t="s">
        <v>226</v>
      </c>
      <c r="D199" s="26">
        <f>$K$108</f>
        <v>4</v>
      </c>
      <c r="E199" s="82">
        <v>1</v>
      </c>
      <c r="F199" s="82" t="s">
        <v>168</v>
      </c>
      <c r="G199" s="83">
        <f>$K$77</f>
        <v>3000</v>
      </c>
      <c r="H199" s="83">
        <f t="shared" si="18"/>
        <v>12000</v>
      </c>
    </row>
    <row r="200" spans="1:8" x14ac:dyDescent="0.2">
      <c r="C200" s="81" t="s">
        <v>227</v>
      </c>
      <c r="D200" s="26">
        <f>$K$108</f>
        <v>4</v>
      </c>
      <c r="E200" s="82">
        <v>1</v>
      </c>
      <c r="F200" s="82" t="s">
        <v>168</v>
      </c>
      <c r="G200" s="83">
        <f>$K$78</f>
        <v>200</v>
      </c>
      <c r="H200" s="83">
        <f>D200*E200*G200</f>
        <v>800</v>
      </c>
    </row>
    <row r="201" spans="1:8" x14ac:dyDescent="0.2">
      <c r="C201" s="81" t="s">
        <v>167</v>
      </c>
      <c r="D201" s="26">
        <v>1</v>
      </c>
      <c r="E201" s="82">
        <v>1</v>
      </c>
      <c r="F201" s="82" t="s">
        <v>168</v>
      </c>
      <c r="G201" s="93">
        <v>1500</v>
      </c>
      <c r="H201" s="83">
        <f t="shared" ref="H201" si="19">D201*E201*G201</f>
        <v>1500</v>
      </c>
    </row>
    <row r="202" spans="1:8" x14ac:dyDescent="0.2">
      <c r="C202" s="81" t="s">
        <v>228</v>
      </c>
      <c r="D202" s="26">
        <f>D193</f>
        <v>1</v>
      </c>
      <c r="E202" s="82">
        <f>ROUNDUP((($K$108/4)+$K$149),0)</f>
        <v>2</v>
      </c>
      <c r="F202" s="26" t="s">
        <v>161</v>
      </c>
      <c r="G202" s="95">
        <f>'TPU MAR-24'!$D$42</f>
        <v>193.64</v>
      </c>
      <c r="H202" s="83">
        <f>D202*E202*G202</f>
        <v>387.28</v>
      </c>
    </row>
    <row r="203" spans="1:8" x14ac:dyDescent="0.2">
      <c r="C203" s="81" t="s">
        <v>401</v>
      </c>
      <c r="D203" s="26">
        <f>D194</f>
        <v>1</v>
      </c>
      <c r="E203" s="151">
        <f>$K$18</f>
        <v>280</v>
      </c>
      <c r="F203" s="26" t="s">
        <v>173</v>
      </c>
      <c r="G203" s="95">
        <f>'TPU MAR-24'!$D$40</f>
        <v>1.29</v>
      </c>
      <c r="H203" s="83">
        <f>D203*E203*G203</f>
        <v>361.2</v>
      </c>
    </row>
    <row r="204" spans="1:8" x14ac:dyDescent="0.2">
      <c r="C204" s="354" t="s">
        <v>179</v>
      </c>
      <c r="D204" s="355"/>
      <c r="E204" s="355"/>
      <c r="F204" s="355"/>
      <c r="G204" s="356"/>
      <c r="H204" s="97">
        <f>SUM(H197:H203)</f>
        <v>15844.080000000002</v>
      </c>
    </row>
    <row r="205" spans="1:8" x14ac:dyDescent="0.2">
      <c r="C205" s="354" t="s">
        <v>219</v>
      </c>
      <c r="D205" s="355"/>
      <c r="E205" s="355"/>
      <c r="F205" s="355"/>
      <c r="G205" s="356"/>
      <c r="H205" s="89">
        <f>H195+H204</f>
        <v>22651.18</v>
      </c>
    </row>
    <row r="206" spans="1:8" x14ac:dyDescent="0.2">
      <c r="C206" s="357" t="s">
        <v>267</v>
      </c>
      <c r="D206" s="357"/>
      <c r="E206" s="357"/>
      <c r="F206" s="357"/>
      <c r="G206" s="102">
        <f>$K$129/$K$126</f>
        <v>12</v>
      </c>
      <c r="H206" s="89">
        <f>H205*G206</f>
        <v>271814.16000000003</v>
      </c>
    </row>
    <row r="207" spans="1:8" x14ac:dyDescent="0.2">
      <c r="C207" s="118"/>
      <c r="D207" s="118"/>
      <c r="E207" s="118"/>
      <c r="F207" s="118"/>
      <c r="G207" s="118"/>
      <c r="H207" s="118"/>
    </row>
    <row r="208" spans="1:8" x14ac:dyDescent="0.2">
      <c r="C208" s="118"/>
      <c r="D208" s="118"/>
      <c r="E208" s="118"/>
      <c r="F208" s="118"/>
      <c r="G208" s="118"/>
      <c r="H208" s="118"/>
    </row>
    <row r="209" spans="1:8" x14ac:dyDescent="0.2">
      <c r="A209" s="48" t="str">
        <f>CAPEX!$A$42</f>
        <v>6.12</v>
      </c>
      <c r="B209" s="77"/>
      <c r="C209" s="349" t="str">
        <f>CAPEX!$B$42</f>
        <v>Programa de Comunicação Social</v>
      </c>
      <c r="D209" s="350"/>
      <c r="E209" s="350"/>
      <c r="F209" s="350"/>
      <c r="G209" s="388"/>
      <c r="H209" s="145">
        <f>H241</f>
        <v>1035138.48</v>
      </c>
    </row>
    <row r="210" spans="1:8" ht="24" x14ac:dyDescent="0.2">
      <c r="C210" s="45" t="s">
        <v>109</v>
      </c>
      <c r="D210" s="45" t="s">
        <v>28</v>
      </c>
      <c r="E210" s="45" t="s">
        <v>110</v>
      </c>
      <c r="F210" s="45" t="s">
        <v>111</v>
      </c>
      <c r="G210" s="45" t="s">
        <v>112</v>
      </c>
      <c r="H210" s="78" t="s">
        <v>113</v>
      </c>
    </row>
    <row r="211" spans="1:8" x14ac:dyDescent="0.2">
      <c r="C211" s="351" t="s">
        <v>115</v>
      </c>
      <c r="D211" s="352"/>
      <c r="E211" s="352"/>
      <c r="F211" s="352"/>
      <c r="G211" s="352"/>
      <c r="H211" s="353"/>
    </row>
    <row r="212" spans="1:8" x14ac:dyDescent="0.2">
      <c r="A212" s="112"/>
      <c r="B212" s="80" t="s">
        <v>128</v>
      </c>
      <c r="C212" s="81" t="s">
        <v>239</v>
      </c>
      <c r="D212" s="82">
        <f>IF(AND($K$11&gt;0,$K$11&lt;=70),1,IF(AND($K$11&gt;70,$K$11&lt;=150),1,IF(AND($K$11&gt;150),1)))</f>
        <v>1</v>
      </c>
      <c r="E212" s="82">
        <f>($K$57*$K$60*($K$145/8))</f>
        <v>4</v>
      </c>
      <c r="F212" s="82" t="s">
        <v>118</v>
      </c>
      <c r="G212" s="83">
        <f>INDEX('TPU MAR-24'!$D$9:$D$999,MATCH(B212,'TPU MAR-24'!$A$9:$A$999,0))</f>
        <v>263.36</v>
      </c>
      <c r="H212" s="83">
        <f t="shared" ref="H212:H216" si="20">D212*E212*G212</f>
        <v>1053.44</v>
      </c>
    </row>
    <row r="213" spans="1:8" x14ac:dyDescent="0.2">
      <c r="A213" s="112"/>
      <c r="B213" s="84" t="s">
        <v>137</v>
      </c>
      <c r="C213" s="81" t="s">
        <v>240</v>
      </c>
      <c r="D213" s="82">
        <f>ROUNDUP($K$57/$K$58,0)</f>
        <v>1</v>
      </c>
      <c r="E213" s="82">
        <f>((ROUNDUP((($K$57*$K$60)/$D$218),0))*$K$145)</f>
        <v>32</v>
      </c>
      <c r="F213" s="82" t="s">
        <v>118</v>
      </c>
      <c r="G213" s="83">
        <f>INDEX('TPU MAR-24'!$D$9:$D$999,MATCH(B213,'TPU MAR-24'!$A$9:$A$999,0))</f>
        <v>208.51</v>
      </c>
      <c r="H213" s="83">
        <f t="shared" si="20"/>
        <v>6672.32</v>
      </c>
    </row>
    <row r="214" spans="1:8" x14ac:dyDescent="0.2">
      <c r="A214" s="112"/>
      <c r="B214" s="80" t="str">
        <f>'TPU MAR-24'!$A$17</f>
        <v>35.03.72</v>
      </c>
      <c r="C214" s="81" t="s">
        <v>241</v>
      </c>
      <c r="D214" s="82">
        <f>ROUNDUP($K$57/$K$58,0)</f>
        <v>1</v>
      </c>
      <c r="E214" s="82">
        <f>((ROUNDUP((($K$57*$K$60)/$D$218),0))*$K$145)</f>
        <v>32</v>
      </c>
      <c r="F214" s="82" t="s">
        <v>118</v>
      </c>
      <c r="G214" s="83">
        <f>INDEX('TPU MAR-24'!$D$9:$D$999,MATCH(B214,'TPU MAR-24'!$A$9:$A$999,0))</f>
        <v>81.7</v>
      </c>
      <c r="H214" s="83">
        <f t="shared" si="20"/>
        <v>2614.4</v>
      </c>
    </row>
    <row r="215" spans="1:8" x14ac:dyDescent="0.2">
      <c r="A215" s="88"/>
      <c r="B215" s="84" t="s">
        <v>143</v>
      </c>
      <c r="C215" s="81" t="s">
        <v>200</v>
      </c>
      <c r="D215" s="82">
        <f>IF(AND($K$11&gt;0,$K$11&lt;=70),1,IF(AND($K$11&gt;70,$K$11&lt;=150),1,IF(AND($K$11&gt;150),1)))</f>
        <v>1</v>
      </c>
      <c r="E215" s="82">
        <v>4</v>
      </c>
      <c r="F215" s="82" t="s">
        <v>118</v>
      </c>
      <c r="G215" s="83">
        <f>INDEX('TPU MAR-24'!$D$9:$D$999,MATCH(B215,'TPU MAR-24'!$A$9:$A$999,0))</f>
        <v>94.41</v>
      </c>
      <c r="H215" s="83">
        <f t="shared" si="20"/>
        <v>377.64</v>
      </c>
    </row>
    <row r="216" spans="1:8" x14ac:dyDescent="0.2">
      <c r="A216" s="88"/>
      <c r="B216" s="84" t="s">
        <v>146</v>
      </c>
      <c r="C216" s="81" t="s">
        <v>147</v>
      </c>
      <c r="D216" s="82">
        <f>IF(AND($K$11&gt;0,$K$11&lt;=70),1,IF(AND($K$11&gt;70,$K$11&lt;=150),1,IF(AND($K$11&gt;150),1)))</f>
        <v>1</v>
      </c>
      <c r="E216" s="82">
        <v>8</v>
      </c>
      <c r="F216" s="82" t="s">
        <v>118</v>
      </c>
      <c r="G216" s="83">
        <f>INDEX('TPU MAR-24'!$D$9:$D$999,MATCH(B216,'TPU MAR-24'!$A$9:$A$999,0))</f>
        <v>46.06</v>
      </c>
      <c r="H216" s="83">
        <f t="shared" si="20"/>
        <v>368.48</v>
      </c>
    </row>
    <row r="217" spans="1:8" x14ac:dyDescent="0.2">
      <c r="C217" s="351" t="s">
        <v>149</v>
      </c>
      <c r="D217" s="352"/>
      <c r="E217" s="352"/>
      <c r="F217" s="352"/>
      <c r="G217" s="352"/>
      <c r="H217" s="353"/>
    </row>
    <row r="218" spans="1:8" x14ac:dyDescent="0.2">
      <c r="A218" s="112"/>
      <c r="B218" s="84" t="s">
        <v>137</v>
      </c>
      <c r="C218" s="81" t="s">
        <v>240</v>
      </c>
      <c r="D218" s="82">
        <f>ROUNDUP($K$57/$K$58,0)</f>
        <v>1</v>
      </c>
      <c r="E218" s="82">
        <f>((ROUNDUP((($K$57*$K$59)/$D$218),0))*$K$146)+($K$149*$K$146)</f>
        <v>50</v>
      </c>
      <c r="F218" s="82" t="s">
        <v>118</v>
      </c>
      <c r="G218" s="83">
        <f>INDEX('TPU MAR-24'!$D$9:$D$999,MATCH(B218,'TPU MAR-24'!$A$9:$A$999,0))</f>
        <v>208.51</v>
      </c>
      <c r="H218" s="83">
        <f>D218*E218*G218</f>
        <v>10425.5</v>
      </c>
    </row>
    <row r="219" spans="1:8" x14ac:dyDescent="0.2">
      <c r="A219" s="112"/>
      <c r="B219" s="80" t="str">
        <f>'TPU MAR-24'!$A$17</f>
        <v>35.03.72</v>
      </c>
      <c r="C219" s="81" t="s">
        <v>241</v>
      </c>
      <c r="D219" s="82">
        <f>ROUNDUP($K$57/$K$58,0)</f>
        <v>1</v>
      </c>
      <c r="E219" s="82">
        <f>((ROUNDUP((($K$57*$K$59)/$D$218),0))*$K$146)+($K$149*$K$146)</f>
        <v>50</v>
      </c>
      <c r="F219" s="82" t="s">
        <v>118</v>
      </c>
      <c r="G219" s="83">
        <f>INDEX('TPU MAR-24'!$D$9:$D$999,MATCH(B219,'TPU MAR-24'!$A$9:$A$999,0))</f>
        <v>81.7</v>
      </c>
      <c r="H219" s="83">
        <f t="shared" ref="H219:H220" si="21">D219*E219*G219</f>
        <v>4085</v>
      </c>
    </row>
    <row r="220" spans="1:8" x14ac:dyDescent="0.2">
      <c r="A220" s="88"/>
      <c r="B220" s="84" t="s">
        <v>153</v>
      </c>
      <c r="C220" s="81" t="s">
        <v>154</v>
      </c>
      <c r="D220" s="82">
        <f>ROUNDUP($K$57/$K$58,0)</f>
        <v>1</v>
      </c>
      <c r="E220" s="82">
        <f>((ROUNDUP((($K$57*$K$59)/$D$218),0))*$K$146)</f>
        <v>40</v>
      </c>
      <c r="F220" s="82" t="s">
        <v>118</v>
      </c>
      <c r="G220" s="83">
        <f>INDEX('TPU MAR-24'!$D$9:$D$999,MATCH(B220,'TPU MAR-24'!$A$9:$A$999,0))</f>
        <v>25.5</v>
      </c>
      <c r="H220" s="83">
        <f t="shared" si="21"/>
        <v>1020</v>
      </c>
    </row>
    <row r="221" spans="1:8" x14ac:dyDescent="0.2">
      <c r="C221" s="354" t="s">
        <v>179</v>
      </c>
      <c r="D221" s="355"/>
      <c r="E221" s="355"/>
      <c r="F221" s="355"/>
      <c r="G221" s="356"/>
      <c r="H221" s="89">
        <f>SUM(H212:H220)</f>
        <v>26616.78</v>
      </c>
    </row>
    <row r="222" spans="1:8" x14ac:dyDescent="0.2">
      <c r="C222" s="351" t="s">
        <v>158</v>
      </c>
      <c r="D222" s="352"/>
      <c r="E222" s="352"/>
      <c r="F222" s="352"/>
      <c r="G222" s="352"/>
      <c r="H222" s="353"/>
    </row>
    <row r="223" spans="1:8" x14ac:dyDescent="0.2">
      <c r="C223" s="81" t="s">
        <v>242</v>
      </c>
      <c r="D223" s="82">
        <f>D218</f>
        <v>1</v>
      </c>
      <c r="E223" s="82">
        <f>((ROUNDUP((($K$57*$K$59)/$D$218),0)))+($K$149)</f>
        <v>5</v>
      </c>
      <c r="F223" s="82" t="s">
        <v>161</v>
      </c>
      <c r="G223" s="83">
        <f>'TPU MAR-24'!$C$52</f>
        <v>318.24</v>
      </c>
      <c r="H223" s="83">
        <f t="shared" ref="H223:H229" si="22">D223*E223*G223</f>
        <v>1591.2</v>
      </c>
    </row>
    <row r="224" spans="1:8" x14ac:dyDescent="0.2">
      <c r="C224" s="81" t="s">
        <v>243</v>
      </c>
      <c r="D224" s="82">
        <f>D219</f>
        <v>1</v>
      </c>
      <c r="E224" s="82">
        <f>((ROUNDUP((($K$57*$K$59)/$D$218),0)))+($K$149)</f>
        <v>5</v>
      </c>
      <c r="F224" s="82" t="s">
        <v>161</v>
      </c>
      <c r="G224" s="83">
        <f>'TPU MAR-24'!$C$52</f>
        <v>318.24</v>
      </c>
      <c r="H224" s="83">
        <f t="shared" si="22"/>
        <v>1591.2</v>
      </c>
    </row>
    <row r="225" spans="1:8" x14ac:dyDescent="0.2">
      <c r="C225" s="81" t="s">
        <v>244</v>
      </c>
      <c r="D225" s="82">
        <f>D220</f>
        <v>1</v>
      </c>
      <c r="E225" s="82">
        <f>((ROUNDUP((($K$57*$K$59)/$D$218),0)))</f>
        <v>4</v>
      </c>
      <c r="F225" s="82" t="s">
        <v>161</v>
      </c>
      <c r="G225" s="83">
        <f>'TPU MAR-24'!$C$53</f>
        <v>159.12</v>
      </c>
      <c r="H225" s="83">
        <f t="shared" si="22"/>
        <v>636.48</v>
      </c>
    </row>
    <row r="226" spans="1:8" x14ac:dyDescent="0.2">
      <c r="C226" s="81" t="s">
        <v>245</v>
      </c>
      <c r="D226" s="26">
        <f>$K$57</f>
        <v>4</v>
      </c>
      <c r="E226" s="82">
        <v>1</v>
      </c>
      <c r="F226" s="82" t="s">
        <v>168</v>
      </c>
      <c r="G226" s="83">
        <f>$K$66</f>
        <v>1300</v>
      </c>
      <c r="H226" s="83">
        <f t="shared" si="22"/>
        <v>5200</v>
      </c>
    </row>
    <row r="227" spans="1:8" x14ac:dyDescent="0.2">
      <c r="C227" s="81" t="s">
        <v>167</v>
      </c>
      <c r="D227" s="26">
        <v>1</v>
      </c>
      <c r="E227" s="82">
        <v>1</v>
      </c>
      <c r="F227" s="82" t="s">
        <v>168</v>
      </c>
      <c r="G227" s="93">
        <v>1500</v>
      </c>
      <c r="H227" s="83">
        <f t="shared" si="22"/>
        <v>1500</v>
      </c>
    </row>
    <row r="228" spans="1:8" x14ac:dyDescent="0.2">
      <c r="C228" s="81" t="s">
        <v>170</v>
      </c>
      <c r="D228" s="26">
        <f>D218</f>
        <v>1</v>
      </c>
      <c r="E228" s="82">
        <f>((ROUNDUP((($K$57*$K$59)/$D$218),0)))+($K$149)</f>
        <v>5</v>
      </c>
      <c r="F228" s="26" t="s">
        <v>161</v>
      </c>
      <c r="G228" s="95">
        <f>'TPU MAR-24'!$D$42</f>
        <v>193.64</v>
      </c>
      <c r="H228" s="83">
        <f t="shared" si="22"/>
        <v>968.19999999999993</v>
      </c>
    </row>
    <row r="229" spans="1:8" x14ac:dyDescent="0.2">
      <c r="C229" s="81" t="s">
        <v>401</v>
      </c>
      <c r="D229" s="26">
        <f>D220</f>
        <v>1</v>
      </c>
      <c r="E229" s="151">
        <f>$K$18</f>
        <v>280</v>
      </c>
      <c r="F229" s="26" t="s">
        <v>173</v>
      </c>
      <c r="G229" s="95">
        <f>'TPU MAR-24'!$D$40</f>
        <v>1.29</v>
      </c>
      <c r="H229" s="83">
        <f t="shared" si="22"/>
        <v>361.2</v>
      </c>
    </row>
    <row r="230" spans="1:8" x14ac:dyDescent="0.2">
      <c r="C230" s="354" t="s">
        <v>179</v>
      </c>
      <c r="D230" s="355"/>
      <c r="E230" s="355"/>
      <c r="F230" s="355"/>
      <c r="G230" s="356"/>
      <c r="H230" s="97">
        <f>SUM(H223:H229)</f>
        <v>11848.280000000002</v>
      </c>
    </row>
    <row r="231" spans="1:8" x14ac:dyDescent="0.2">
      <c r="C231" s="354" t="s">
        <v>219</v>
      </c>
      <c r="D231" s="355"/>
      <c r="E231" s="355"/>
      <c r="F231" s="355"/>
      <c r="G231" s="356"/>
      <c r="H231" s="89">
        <f>H221+H230</f>
        <v>38465.06</v>
      </c>
    </row>
    <row r="232" spans="1:8" x14ac:dyDescent="0.2">
      <c r="C232" s="354" t="s">
        <v>475</v>
      </c>
      <c r="D232" s="355"/>
      <c r="E232" s="355"/>
      <c r="F232" s="356"/>
      <c r="G232" s="102">
        <f>$K$129/$K$126</f>
        <v>12</v>
      </c>
      <c r="H232" s="89">
        <f>H231*G232</f>
        <v>461580.72</v>
      </c>
    </row>
    <row r="233" spans="1:8" x14ac:dyDescent="0.2">
      <c r="C233" s="351" t="s">
        <v>476</v>
      </c>
      <c r="D233" s="352"/>
      <c r="E233" s="352"/>
      <c r="F233" s="352"/>
      <c r="G233" s="352"/>
      <c r="H233" s="353"/>
    </row>
    <row r="234" spans="1:8" x14ac:dyDescent="0.2">
      <c r="A234" s="112"/>
      <c r="B234" s="80" t="str">
        <f>'TPU MAR-24'!$A$16</f>
        <v>35.03.71</v>
      </c>
      <c r="C234" s="81" t="s">
        <v>477</v>
      </c>
      <c r="D234" s="82">
        <f>IF(AND($K$11&gt;0,$K$11&lt;=70),1,IF(AND($K$11&gt;70,$K$11&lt;=150),1,IF(AND($K$11&gt;150),1)))</f>
        <v>1</v>
      </c>
      <c r="E234" s="82">
        <f>$K$150</f>
        <v>176</v>
      </c>
      <c r="F234" s="82" t="s">
        <v>118</v>
      </c>
      <c r="G234" s="83">
        <f>INDEX('TPU MAR-24'!$D$9:$D$999,MATCH(B234,'TPU MAR-24'!$A$9:$A$999,0))</f>
        <v>59.37</v>
      </c>
      <c r="H234" s="83">
        <f t="shared" ref="H234" si="23">D234*E234*G234</f>
        <v>10449.119999999999</v>
      </c>
    </row>
    <row r="235" spans="1:8" x14ac:dyDescent="0.2">
      <c r="C235" s="354" t="s">
        <v>366</v>
      </c>
      <c r="D235" s="355"/>
      <c r="E235" s="355"/>
      <c r="F235" s="355"/>
      <c r="G235" s="356"/>
      <c r="H235" s="89">
        <f>SUM(H234)</f>
        <v>10449.119999999999</v>
      </c>
    </row>
    <row r="236" spans="1:8" x14ac:dyDescent="0.2">
      <c r="C236" s="382" t="s">
        <v>158</v>
      </c>
      <c r="D236" s="383"/>
      <c r="E236" s="383"/>
      <c r="F236" s="383"/>
      <c r="G236" s="383"/>
      <c r="H236" s="384"/>
    </row>
    <row r="237" spans="1:8" x14ac:dyDescent="0.2">
      <c r="C237" s="81" t="s">
        <v>167</v>
      </c>
      <c r="D237" s="26">
        <v>1</v>
      </c>
      <c r="E237" s="82">
        <v>1</v>
      </c>
      <c r="F237" s="82" t="s">
        <v>168</v>
      </c>
      <c r="G237" s="93">
        <v>1500</v>
      </c>
      <c r="H237" s="83">
        <f t="shared" ref="H237" si="24">D237*E237*G237</f>
        <v>1500</v>
      </c>
    </row>
    <row r="238" spans="1:8" x14ac:dyDescent="0.2">
      <c r="C238" s="379" t="s">
        <v>179</v>
      </c>
      <c r="D238" s="380"/>
      <c r="E238" s="380"/>
      <c r="F238" s="380"/>
      <c r="G238" s="381"/>
      <c r="H238" s="97">
        <f>SUM(H237:H237)</f>
        <v>1500</v>
      </c>
    </row>
    <row r="239" spans="1:8" x14ac:dyDescent="0.2">
      <c r="C239" s="354" t="s">
        <v>478</v>
      </c>
      <c r="D239" s="355"/>
      <c r="E239" s="355"/>
      <c r="F239" s="355"/>
      <c r="G239" s="356"/>
      <c r="H239" s="89">
        <f>H235+H238</f>
        <v>11949.119999999999</v>
      </c>
    </row>
    <row r="240" spans="1:8" x14ac:dyDescent="0.2">
      <c r="C240" s="354" t="s">
        <v>479</v>
      </c>
      <c r="D240" s="355"/>
      <c r="E240" s="355"/>
      <c r="F240" s="356"/>
      <c r="G240" s="102">
        <f>$K$129</f>
        <v>48</v>
      </c>
      <c r="H240" s="89">
        <f>H239*G240</f>
        <v>573557.76000000001</v>
      </c>
    </row>
    <row r="241" spans="1:8" x14ac:dyDescent="0.2">
      <c r="C241" s="354" t="s">
        <v>250</v>
      </c>
      <c r="D241" s="355"/>
      <c r="E241" s="355"/>
      <c r="F241" s="355"/>
      <c r="G241" s="356"/>
      <c r="H241" s="89">
        <f>H232+H240</f>
        <v>1035138.48</v>
      </c>
    </row>
    <row r="242" spans="1:8" x14ac:dyDescent="0.2">
      <c r="C242" s="118"/>
      <c r="D242" s="118"/>
      <c r="E242" s="118"/>
      <c r="F242" s="118"/>
      <c r="G242" s="118"/>
      <c r="H242" s="118"/>
    </row>
    <row r="243" spans="1:8" x14ac:dyDescent="0.2">
      <c r="C243" s="118"/>
      <c r="D243" s="118"/>
      <c r="E243" s="118"/>
      <c r="F243" s="118"/>
      <c r="G243" s="118"/>
      <c r="H243" s="118"/>
    </row>
    <row r="244" spans="1:8" x14ac:dyDescent="0.2">
      <c r="A244" s="48" t="str">
        <f>CAPEX!$A$43</f>
        <v>6.13</v>
      </c>
      <c r="B244" s="77"/>
      <c r="C244" s="349" t="str">
        <f>CAPEX!$B$43</f>
        <v xml:space="preserve">Programa de Manejo e Recomposição Vegetal - Controle da Supressão de Vegetação </v>
      </c>
      <c r="D244" s="350"/>
      <c r="E244" s="350"/>
      <c r="F244" s="350"/>
      <c r="G244" s="350"/>
      <c r="H244" s="145">
        <f>H264</f>
        <v>131885.40000000002</v>
      </c>
    </row>
    <row r="245" spans="1:8" ht="24" x14ac:dyDescent="0.2">
      <c r="C245" s="45" t="s">
        <v>109</v>
      </c>
      <c r="D245" s="45" t="s">
        <v>28</v>
      </c>
      <c r="E245" s="45" t="s">
        <v>110</v>
      </c>
      <c r="F245" s="45" t="s">
        <v>111</v>
      </c>
      <c r="G245" s="45" t="s">
        <v>112</v>
      </c>
      <c r="H245" s="78" t="s">
        <v>113</v>
      </c>
    </row>
    <row r="246" spans="1:8" x14ac:dyDescent="0.2">
      <c r="C246" s="351" t="s">
        <v>190</v>
      </c>
      <c r="D246" s="352"/>
      <c r="E246" s="352"/>
      <c r="F246" s="352"/>
      <c r="G246" s="352"/>
      <c r="H246" s="353"/>
    </row>
    <row r="247" spans="1:8" x14ac:dyDescent="0.2">
      <c r="A247" s="112"/>
      <c r="B247" s="80" t="s">
        <v>123</v>
      </c>
      <c r="C247" s="81" t="s">
        <v>452</v>
      </c>
      <c r="D247" s="82">
        <f>IF(AND($K$11&gt;0,$K$11&lt;=70),1,IF(AND($K$11&gt;70,$K$11&lt;=150),1,IF(AND($K$11&gt;150),1)))</f>
        <v>1</v>
      </c>
      <c r="E247" s="82">
        <f>IF(AND($K$11&gt;0,$K$11&lt;=70),(2)*$K$145,IF(AND($K$11&gt;70,$K$11&lt;=150),(3)*$K$145,IF(AND($K$11&gt;150),(3)*$K$145)))</f>
        <v>16</v>
      </c>
      <c r="F247" s="82" t="s">
        <v>118</v>
      </c>
      <c r="G247" s="83">
        <f>INDEX('TPU MAR-24'!$D$9:$D$999,MATCH(B247,'TPU MAR-24'!$A$9:$A$999,0))</f>
        <v>268.08</v>
      </c>
      <c r="H247" s="83">
        <f>D247*E247*G247</f>
        <v>4289.28</v>
      </c>
    </row>
    <row r="248" spans="1:8" x14ac:dyDescent="0.2">
      <c r="A248" s="88"/>
      <c r="B248" s="84" t="s">
        <v>143</v>
      </c>
      <c r="C248" s="81" t="s">
        <v>200</v>
      </c>
      <c r="D248" s="82">
        <f>IF(AND($K$11&gt;0,$K$11&lt;=70),1,IF(AND($K$11&gt;70,$K$11&lt;=150),1,IF(AND($K$11&gt;150),1)))</f>
        <v>1</v>
      </c>
      <c r="E248" s="82">
        <f>IF(AND($K$11&gt;0,$K$11&lt;=70),(1/4)*$K$145,IF(AND($K$11&gt;70,$K$11&lt;=150),(1/4)*$K$145,IF(AND($K$11&gt;150),(2/4)*$K$145)))</f>
        <v>2</v>
      </c>
      <c r="F248" s="82" t="s">
        <v>118</v>
      </c>
      <c r="G248" s="83">
        <f>INDEX('TPU MAR-24'!$D$9:$D$999,MATCH(B248,'TPU MAR-24'!$A$9:$A$999,0))</f>
        <v>94.41</v>
      </c>
      <c r="H248" s="83">
        <f t="shared" ref="H248:H249" si="25">D248*E248*G248</f>
        <v>188.82</v>
      </c>
    </row>
    <row r="249" spans="1:8" x14ac:dyDescent="0.2">
      <c r="A249" s="88"/>
      <c r="B249" s="84" t="s">
        <v>146</v>
      </c>
      <c r="C249" s="81" t="s">
        <v>147</v>
      </c>
      <c r="D249" s="82">
        <f>IF(AND($K$11&gt;0,$K$11&lt;=70),1,IF(AND($K$11&gt;70,$K$11&lt;=150),1,IF(AND($K$11&gt;150),1)))</f>
        <v>1</v>
      </c>
      <c r="E249" s="82">
        <f>IF(AND($K$11&gt;0,$K$11&lt;=70),(1/4)*$K$145,IF(AND($K$11&gt;70,$K$11&lt;=150),(1/4)*$K$145,IF(AND($K$11&gt;150),(2/4)*$K$145)))</f>
        <v>2</v>
      </c>
      <c r="F249" s="82" t="s">
        <v>118</v>
      </c>
      <c r="G249" s="83">
        <f>INDEX('TPU MAR-24'!$D$9:$D$999,MATCH(B249,'TPU MAR-24'!$A$9:$A$999,0))</f>
        <v>46.06</v>
      </c>
      <c r="H249" s="83">
        <f t="shared" si="25"/>
        <v>92.12</v>
      </c>
    </row>
    <row r="250" spans="1:8" x14ac:dyDescent="0.2">
      <c r="C250" s="351" t="s">
        <v>149</v>
      </c>
      <c r="D250" s="352"/>
      <c r="E250" s="352"/>
      <c r="F250" s="352"/>
      <c r="G250" s="352"/>
      <c r="H250" s="353"/>
    </row>
    <row r="251" spans="1:8" x14ac:dyDescent="0.2">
      <c r="A251" s="112"/>
      <c r="B251" s="84" t="s">
        <v>133</v>
      </c>
      <c r="C251" s="81" t="s">
        <v>455</v>
      </c>
      <c r="D251" s="82">
        <f>IF(AND($K$11&gt;0,$K$11&lt;=70),1,IF(AND($K$11&gt;70,$K$11&lt;=150),1,IF(AND($K$11&gt;150),1)))</f>
        <v>1</v>
      </c>
      <c r="E251" s="82">
        <f>$K$51*$K$150</f>
        <v>176</v>
      </c>
      <c r="F251" s="82" t="s">
        <v>118</v>
      </c>
      <c r="G251" s="83">
        <f>INDEX('TPU MAR-24'!$D$9:$D$999,MATCH(B251,'TPU MAR-24'!$A$9:$A$999,0))</f>
        <v>189.39</v>
      </c>
      <c r="H251" s="83">
        <f t="shared" ref="H251:H252" si="26">D251*E251*G251</f>
        <v>33332.639999999999</v>
      </c>
    </row>
    <row r="252" spans="1:8" x14ac:dyDescent="0.2">
      <c r="A252" s="88"/>
      <c r="B252" s="84" t="s">
        <v>204</v>
      </c>
      <c r="C252" s="81" t="s">
        <v>205</v>
      </c>
      <c r="D252" s="82">
        <f>IF(AND($K$11&gt;0,$K$11&lt;=70),1,IF(AND($K$11&gt;70,$K$11&lt;=150),1,IF(AND($K$11&gt;150),1)))</f>
        <v>1</v>
      </c>
      <c r="E252" s="82">
        <f>$K$51*$K$150</f>
        <v>176</v>
      </c>
      <c r="F252" s="82" t="s">
        <v>118</v>
      </c>
      <c r="G252" s="83">
        <f>INDEX('TPU MAR-24'!$D$9:$D$999,MATCH(B252,'TPU MAR-24'!$A$9:$A$999,0))</f>
        <v>24.14</v>
      </c>
      <c r="H252" s="83">
        <f t="shared" si="26"/>
        <v>4248.6400000000003</v>
      </c>
    </row>
    <row r="253" spans="1:8" x14ac:dyDescent="0.2">
      <c r="C253" s="354" t="s">
        <v>179</v>
      </c>
      <c r="D253" s="355"/>
      <c r="E253" s="355"/>
      <c r="F253" s="355"/>
      <c r="G253" s="356"/>
      <c r="H253" s="89">
        <f>SUM(H247:H252)</f>
        <v>42151.5</v>
      </c>
    </row>
    <row r="254" spans="1:8" x14ac:dyDescent="0.2">
      <c r="C254" s="351" t="s">
        <v>158</v>
      </c>
      <c r="D254" s="352"/>
      <c r="E254" s="352"/>
      <c r="F254" s="352"/>
      <c r="G254" s="352"/>
      <c r="H254" s="353"/>
    </row>
    <row r="255" spans="1:8" x14ac:dyDescent="0.2">
      <c r="C255" s="81" t="s">
        <v>456</v>
      </c>
      <c r="D255" s="26">
        <f>$D$251</f>
        <v>1</v>
      </c>
      <c r="E255" s="82">
        <v>30</v>
      </c>
      <c r="F255" s="82" t="s">
        <v>161</v>
      </c>
      <c r="G255" s="83">
        <f>'TPU MAR-24'!$C$52</f>
        <v>318.24</v>
      </c>
      <c r="H255" s="83">
        <f t="shared" ref="H255:H260" si="27">D255*E255*G255</f>
        <v>9547.2000000000007</v>
      </c>
    </row>
    <row r="256" spans="1:8" x14ac:dyDescent="0.2">
      <c r="C256" s="81" t="s">
        <v>225</v>
      </c>
      <c r="D256" s="26">
        <f>$D$252</f>
        <v>1</v>
      </c>
      <c r="E256" s="82">
        <v>30</v>
      </c>
      <c r="F256" s="82" t="s">
        <v>161</v>
      </c>
      <c r="G256" s="83">
        <f>'TPU MAR-24'!$C$53</f>
        <v>159.12</v>
      </c>
      <c r="H256" s="83">
        <f t="shared" si="27"/>
        <v>4773.6000000000004</v>
      </c>
    </row>
    <row r="257" spans="1:8" x14ac:dyDescent="0.2">
      <c r="C257" s="81" t="s">
        <v>398</v>
      </c>
      <c r="D257" s="26">
        <f>$D$251</f>
        <v>1</v>
      </c>
      <c r="E257" s="82">
        <v>1</v>
      </c>
      <c r="F257" s="82" t="s">
        <v>321</v>
      </c>
      <c r="G257" s="93">
        <v>1800</v>
      </c>
      <c r="H257" s="83">
        <f t="shared" si="27"/>
        <v>1800</v>
      </c>
    </row>
    <row r="258" spans="1:8" x14ac:dyDescent="0.2">
      <c r="C258" s="81" t="s">
        <v>167</v>
      </c>
      <c r="D258" s="26">
        <v>1</v>
      </c>
      <c r="E258" s="82">
        <v>1</v>
      </c>
      <c r="F258" s="82" t="s">
        <v>168</v>
      </c>
      <c r="G258" s="93">
        <v>1500</v>
      </c>
      <c r="H258" s="83">
        <f t="shared" si="27"/>
        <v>1500</v>
      </c>
    </row>
    <row r="259" spans="1:8" x14ac:dyDescent="0.2">
      <c r="C259" s="81" t="s">
        <v>170</v>
      </c>
      <c r="D259" s="26">
        <f>$D$251</f>
        <v>1</v>
      </c>
      <c r="E259" s="26">
        <v>30</v>
      </c>
      <c r="F259" s="82" t="s">
        <v>161</v>
      </c>
      <c r="G259" s="95">
        <f>'TPU MAR-24'!$D$42</f>
        <v>193.64</v>
      </c>
      <c r="H259" s="83">
        <f t="shared" si="27"/>
        <v>5809.2</v>
      </c>
    </row>
    <row r="260" spans="1:8" x14ac:dyDescent="0.2">
      <c r="C260" s="81" t="s">
        <v>401</v>
      </c>
      <c r="D260" s="26">
        <f>D252</f>
        <v>1</v>
      </c>
      <c r="E260" s="151">
        <f>$K$18</f>
        <v>280</v>
      </c>
      <c r="F260" s="26" t="s">
        <v>173</v>
      </c>
      <c r="G260" s="95">
        <f>'TPU MAR-24'!$D$40</f>
        <v>1.29</v>
      </c>
      <c r="H260" s="83">
        <f t="shared" si="27"/>
        <v>361.2</v>
      </c>
    </row>
    <row r="261" spans="1:8" x14ac:dyDescent="0.2">
      <c r="C261" s="354" t="s">
        <v>179</v>
      </c>
      <c r="D261" s="355"/>
      <c r="E261" s="355"/>
      <c r="F261" s="355"/>
      <c r="G261" s="356"/>
      <c r="H261" s="97">
        <f>SUM(H255:H260)</f>
        <v>23791.200000000004</v>
      </c>
    </row>
    <row r="262" spans="1:8" x14ac:dyDescent="0.2">
      <c r="A262" s="99"/>
      <c r="B262" s="100"/>
      <c r="C262" s="357" t="s">
        <v>179</v>
      </c>
      <c r="D262" s="357"/>
      <c r="E262" s="357"/>
      <c r="F262" s="357"/>
      <c r="G262" s="357"/>
      <c r="H262" s="89">
        <f>H253+H261</f>
        <v>65942.700000000012</v>
      </c>
    </row>
    <row r="263" spans="1:8" x14ac:dyDescent="0.2">
      <c r="C263" s="354" t="s">
        <v>482</v>
      </c>
      <c r="D263" s="355"/>
      <c r="E263" s="356"/>
      <c r="F263" s="102">
        <f>$K$53</f>
        <v>1</v>
      </c>
      <c r="G263" s="102">
        <f>$K$50*$K$6</f>
        <v>2</v>
      </c>
      <c r="H263" s="119">
        <f>H262*F263*G263</f>
        <v>131885.40000000002</v>
      </c>
    </row>
    <row r="264" spans="1:8" x14ac:dyDescent="0.2">
      <c r="C264" s="354" t="s">
        <v>267</v>
      </c>
      <c r="D264" s="355"/>
      <c r="E264" s="355"/>
      <c r="F264" s="355"/>
      <c r="G264" s="356"/>
      <c r="H264" s="119">
        <f>SUM(H263:H263)</f>
        <v>131885.40000000002</v>
      </c>
    </row>
    <row r="265" spans="1:8" x14ac:dyDescent="0.2">
      <c r="C265" s="118"/>
      <c r="D265" s="118"/>
      <c r="E265" s="118"/>
      <c r="F265" s="118"/>
      <c r="G265" s="118"/>
      <c r="H265" s="118"/>
    </row>
    <row r="266" spans="1:8" x14ac:dyDescent="0.2">
      <c r="C266" s="118"/>
      <c r="D266" s="118"/>
      <c r="E266" s="118"/>
      <c r="F266" s="118"/>
      <c r="G266" s="118"/>
      <c r="H266" s="118"/>
    </row>
    <row r="267" spans="1:8" x14ac:dyDescent="0.2">
      <c r="A267" s="48" t="str">
        <f>CAPEX!$A$44</f>
        <v>6.14</v>
      </c>
      <c r="B267" s="77"/>
      <c r="C267" s="349" t="str">
        <f>CAPEX!$B$44</f>
        <v>Programa de Compensação Ambiental</v>
      </c>
      <c r="D267" s="350"/>
      <c r="E267" s="350"/>
      <c r="F267" s="350"/>
      <c r="G267" s="350"/>
      <c r="H267" s="145">
        <f>H286</f>
        <v>473785.92</v>
      </c>
    </row>
    <row r="268" spans="1:8" ht="24" x14ac:dyDescent="0.2">
      <c r="C268" s="45" t="s">
        <v>109</v>
      </c>
      <c r="D268" s="45" t="s">
        <v>28</v>
      </c>
      <c r="E268" s="45" t="s">
        <v>110</v>
      </c>
      <c r="F268" s="45" t="s">
        <v>111</v>
      </c>
      <c r="G268" s="45" t="s">
        <v>112</v>
      </c>
      <c r="H268" s="78" t="s">
        <v>113</v>
      </c>
    </row>
    <row r="269" spans="1:8" x14ac:dyDescent="0.2">
      <c r="C269" s="351" t="s">
        <v>190</v>
      </c>
      <c r="D269" s="352"/>
      <c r="E269" s="352"/>
      <c r="F269" s="352"/>
      <c r="G269" s="352"/>
      <c r="H269" s="353"/>
    </row>
    <row r="270" spans="1:8" x14ac:dyDescent="0.2">
      <c r="A270" s="112"/>
      <c r="B270" s="80" t="s">
        <v>123</v>
      </c>
      <c r="C270" s="81" t="s">
        <v>459</v>
      </c>
      <c r="D270" s="82">
        <f>IF(AND($K$11&gt;0,$K$11&lt;=70),1,IF(AND($K$11&gt;70,$K$11&lt;=150),1,IF(AND($K$11&gt;150),1)))</f>
        <v>1</v>
      </c>
      <c r="E270" s="82">
        <f>IF(AND($K$11&gt;0,$K$11&lt;=70),(1/2)*$K$145,IF(AND($K$11&gt;70,$K$11&lt;=150),(1)*$K$145,IF(AND($K$11&gt;150),(2)*$K$145)))</f>
        <v>4</v>
      </c>
      <c r="F270" s="82" t="s">
        <v>118</v>
      </c>
      <c r="G270" s="83">
        <f>INDEX('TPU MAR-24'!$D$9:$D$999,MATCH(B270,'TPU MAR-24'!$A$9:$A$999,0))</f>
        <v>268.08</v>
      </c>
      <c r="H270" s="83">
        <f>D270*E270*G270</f>
        <v>1072.32</v>
      </c>
    </row>
    <row r="271" spans="1:8" x14ac:dyDescent="0.2">
      <c r="A271" s="112"/>
      <c r="B271" s="84" t="s">
        <v>133</v>
      </c>
      <c r="C271" s="81" t="s">
        <v>455</v>
      </c>
      <c r="D271" s="26">
        <v>1</v>
      </c>
      <c r="E271" s="82">
        <f>IF(AND($K$11&gt;0,$K$11&lt;=70),(3)*$K$145,IF(AND($K$11&gt;70,$K$11&lt;=150),(4)*$K$145,IF(AND($K$11&gt;150),(5)*$K$145)))</f>
        <v>24</v>
      </c>
      <c r="F271" s="82" t="s">
        <v>118</v>
      </c>
      <c r="G271" s="83">
        <f>INDEX('TPU MAR-24'!$D$9:$D$999,MATCH(B271,'TPU MAR-24'!$A$9:$A$999,0))</f>
        <v>189.39</v>
      </c>
      <c r="H271" s="83">
        <f>D271*E271*G271</f>
        <v>4545.3599999999997</v>
      </c>
    </row>
    <row r="272" spans="1:8" x14ac:dyDescent="0.2">
      <c r="A272" s="88"/>
      <c r="B272" s="84" t="s">
        <v>143</v>
      </c>
      <c r="C272" s="81" t="s">
        <v>200</v>
      </c>
      <c r="D272" s="82">
        <f>IF(AND($K$11&gt;0,$K$11&lt;=70),1,IF(AND($K$11&gt;70,$K$11&lt;=150),1,IF(AND($K$11&gt;150),1)))</f>
        <v>1</v>
      </c>
      <c r="E272" s="82">
        <f>IF(AND($K$11&gt;0,$K$11&lt;=70),(1/2)*$K$145,IF(AND($K$11&gt;70,$K$11&lt;=150),(1/2)*$K$145,IF(AND($K$11&gt;150),(1/2)*$K$145)))</f>
        <v>4</v>
      </c>
      <c r="F272" s="82" t="s">
        <v>118</v>
      </c>
      <c r="G272" s="83">
        <f>INDEX('TPU MAR-24'!$D$9:$D$999,MATCH(B272,'TPU MAR-24'!$A$9:$A$999,0))</f>
        <v>94.41</v>
      </c>
      <c r="H272" s="83">
        <f>D272*E272*G272</f>
        <v>377.64</v>
      </c>
    </row>
    <row r="273" spans="1:8" x14ac:dyDescent="0.2">
      <c r="A273" s="88"/>
      <c r="B273" s="84" t="s">
        <v>146</v>
      </c>
      <c r="C273" s="81" t="s">
        <v>147</v>
      </c>
      <c r="D273" s="82">
        <f>IF(AND($K$11&gt;0,$K$11&lt;=70),1,IF(AND($K$11&gt;70,$K$11&lt;=150),1,IF(AND($K$11&gt;150),1)))</f>
        <v>1</v>
      </c>
      <c r="E273" s="82">
        <f>IF(AND($K$11&gt;0,$K$11&lt;=70),(1/4)*$K$145,IF(AND($K$11&gt;70,$K$11&lt;=150),(1/4)*$K$145,IF(AND($K$11&gt;150),(2/4)*$K$145)))</f>
        <v>2</v>
      </c>
      <c r="F273" s="82" t="s">
        <v>118</v>
      </c>
      <c r="G273" s="83">
        <f>INDEX('TPU MAR-24'!$D$9:$D$999,MATCH(B273,'TPU MAR-24'!$A$9:$A$999,0))</f>
        <v>46.06</v>
      </c>
      <c r="H273" s="83">
        <f>D273*E273*G273</f>
        <v>92.12</v>
      </c>
    </row>
    <row r="274" spans="1:8" x14ac:dyDescent="0.2">
      <c r="C274" s="351" t="s">
        <v>149</v>
      </c>
      <c r="D274" s="352"/>
      <c r="E274" s="352"/>
      <c r="F274" s="352"/>
      <c r="G274" s="352"/>
      <c r="H274" s="353"/>
    </row>
    <row r="275" spans="1:8" x14ac:dyDescent="0.2">
      <c r="A275" s="112"/>
      <c r="B275" s="84" t="s">
        <v>133</v>
      </c>
      <c r="C275" s="81" t="s">
        <v>455</v>
      </c>
      <c r="D275" s="82">
        <f>IF(AND($K$11&gt;0,$K$11&lt;=70),1,IF(AND($K$11&gt;70,$K$11&lt;=150),1,IF(AND($K$11&gt;150),1)))</f>
        <v>1</v>
      </c>
      <c r="E275" s="82">
        <f>IF(AND($K$11&gt;0,$K$11&lt;=70),(1+$K$149)*$K$146,IF(AND($K$11&gt;70,$K$11&lt;=150),(1+$K$149)*$K$146,IF(AND($K$11&gt;150),(2+$K$149)*$K$146)))</f>
        <v>20</v>
      </c>
      <c r="F275" s="82" t="s">
        <v>118</v>
      </c>
      <c r="G275" s="83">
        <f>INDEX('TPU MAR-24'!$D$9:$D$999,MATCH(B275,'TPU MAR-24'!$A$9:$A$999,0))</f>
        <v>189.39</v>
      </c>
      <c r="H275" s="83">
        <f>D275*E275*G275</f>
        <v>3787.7999999999997</v>
      </c>
    </row>
    <row r="276" spans="1:8" x14ac:dyDescent="0.2">
      <c r="A276" s="88"/>
      <c r="B276" s="84" t="s">
        <v>204</v>
      </c>
      <c r="C276" s="81" t="s">
        <v>205</v>
      </c>
      <c r="D276" s="82">
        <f>IF(AND($K$11&gt;0,$K$11&lt;=70),1,IF(AND($K$11&gt;70,$K$11&lt;=150),1,IF(AND($K$11&gt;150),1)))</f>
        <v>1</v>
      </c>
      <c r="E276" s="82">
        <f>IF(AND($K$11&gt;0,$K$11&lt;=70),(1)*$K$146,IF(AND($K$11&gt;70,$K$11&lt;=150),(1)*$K$146,IF(AND($K$11&gt;150),(2)*$K$146)))</f>
        <v>10</v>
      </c>
      <c r="F276" s="82" t="s">
        <v>118</v>
      </c>
      <c r="G276" s="83">
        <f>INDEX('TPU MAR-24'!$D$9:$D$999,MATCH(B276,'TPU MAR-24'!$A$9:$A$999,0))</f>
        <v>24.14</v>
      </c>
      <c r="H276" s="83">
        <f>D276*E276*G276</f>
        <v>241.4</v>
      </c>
    </row>
    <row r="277" spans="1:8" x14ac:dyDescent="0.2">
      <c r="C277" s="354" t="s">
        <v>179</v>
      </c>
      <c r="D277" s="355"/>
      <c r="E277" s="355"/>
      <c r="F277" s="355"/>
      <c r="G277" s="356"/>
      <c r="H277" s="89">
        <f>SUM(H270:H276)</f>
        <v>10116.64</v>
      </c>
    </row>
    <row r="278" spans="1:8" x14ac:dyDescent="0.2">
      <c r="C278" s="351" t="s">
        <v>158</v>
      </c>
      <c r="D278" s="352"/>
      <c r="E278" s="352"/>
      <c r="F278" s="352"/>
      <c r="G278" s="352"/>
      <c r="H278" s="353"/>
    </row>
    <row r="279" spans="1:8" x14ac:dyDescent="0.2">
      <c r="C279" s="81" t="s">
        <v>456</v>
      </c>
      <c r="D279" s="82">
        <f>$D$275</f>
        <v>1</v>
      </c>
      <c r="E279" s="82">
        <f>IF(AND($K$11&gt;0,$K$11&lt;=70),(1+$K$149),IF(AND($K$11&gt;70,$K$11&lt;=150),(1+$K$149),IF(AND($K$11&gt;150),(2+$K$149))))</f>
        <v>2</v>
      </c>
      <c r="F279" s="82" t="s">
        <v>161</v>
      </c>
      <c r="G279" s="83">
        <f>'TPU MAR-24'!$C$52</f>
        <v>318.24</v>
      </c>
      <c r="H279" s="83">
        <f>D279*E279*G279</f>
        <v>636.48</v>
      </c>
    </row>
    <row r="280" spans="1:8" x14ac:dyDescent="0.2">
      <c r="C280" s="81" t="s">
        <v>225</v>
      </c>
      <c r="D280" s="82">
        <f>$D$276</f>
        <v>1</v>
      </c>
      <c r="E280" s="82">
        <f>IF(AND($K$11&gt;0,$K$11&lt;=70),(1),IF(AND($K$11&gt;70,$K$11&lt;=150),(1),IF(AND($K$11&gt;150),(2))))</f>
        <v>1</v>
      </c>
      <c r="F280" s="82" t="s">
        <v>161</v>
      </c>
      <c r="G280" s="83">
        <f>'TPU MAR-24'!$C$53</f>
        <v>159.12</v>
      </c>
      <c r="H280" s="83">
        <f>D280*E280*G280</f>
        <v>159.12</v>
      </c>
    </row>
    <row r="281" spans="1:8" x14ac:dyDescent="0.2">
      <c r="C281" s="81" t="s">
        <v>167</v>
      </c>
      <c r="D281" s="26">
        <v>1</v>
      </c>
      <c r="E281" s="82">
        <v>1</v>
      </c>
      <c r="F281" s="82" t="s">
        <v>168</v>
      </c>
      <c r="G281" s="93">
        <v>1500</v>
      </c>
      <c r="H281" s="83">
        <f>D281*E281*G281</f>
        <v>1500</v>
      </c>
    </row>
    <row r="282" spans="1:8" x14ac:dyDescent="0.2">
      <c r="C282" s="81" t="s">
        <v>170</v>
      </c>
      <c r="D282" s="26">
        <f>$D$275</f>
        <v>1</v>
      </c>
      <c r="E282" s="82">
        <f>IF(AND($K$11&gt;0,$K$11&lt;=70),(1+$K$149),IF(AND($K$11&gt;70,$K$11&lt;=150),(1+$K$149),IF(AND($K$11&gt;150),(2+$K$149))))</f>
        <v>2</v>
      </c>
      <c r="F282" s="82" t="s">
        <v>161</v>
      </c>
      <c r="G282" s="95">
        <f>'TPU MAR-24'!$D$42</f>
        <v>193.64</v>
      </c>
      <c r="H282" s="83">
        <f>D282*E282*G282</f>
        <v>387.28</v>
      </c>
    </row>
    <row r="283" spans="1:8" x14ac:dyDescent="0.2">
      <c r="C283" s="81" t="s">
        <v>401</v>
      </c>
      <c r="D283" s="26">
        <f>D276</f>
        <v>1</v>
      </c>
      <c r="E283" s="151">
        <f>$K$18</f>
        <v>280</v>
      </c>
      <c r="F283" s="26" t="s">
        <v>173</v>
      </c>
      <c r="G283" s="95">
        <f>'TPU MAR-24'!$D$40</f>
        <v>1.29</v>
      </c>
      <c r="H283" s="83">
        <f>D283*E283*G283</f>
        <v>361.2</v>
      </c>
    </row>
    <row r="284" spans="1:8" x14ac:dyDescent="0.2">
      <c r="C284" s="354" t="s">
        <v>179</v>
      </c>
      <c r="D284" s="355"/>
      <c r="E284" s="355"/>
      <c r="F284" s="355"/>
      <c r="G284" s="356"/>
      <c r="H284" s="119">
        <f>SUM(H279:H283)</f>
        <v>3044.08</v>
      </c>
    </row>
    <row r="285" spans="1:8" x14ac:dyDescent="0.2">
      <c r="C285" s="354" t="s">
        <v>219</v>
      </c>
      <c r="D285" s="355"/>
      <c r="E285" s="355"/>
      <c r="F285" s="355"/>
      <c r="G285" s="356"/>
      <c r="H285" s="161">
        <f>H277+H284</f>
        <v>13160.72</v>
      </c>
    </row>
    <row r="286" spans="1:8" x14ac:dyDescent="0.2">
      <c r="C286" s="357" t="s">
        <v>267</v>
      </c>
      <c r="D286" s="357"/>
      <c r="E286" s="357"/>
      <c r="F286" s="357"/>
      <c r="G286" s="102">
        <f>$K$55</f>
        <v>36</v>
      </c>
      <c r="H286" s="97">
        <f>H285*G286</f>
        <v>473785.92</v>
      </c>
    </row>
    <row r="287" spans="1:8" x14ac:dyDescent="0.2">
      <c r="C287" s="118"/>
      <c r="D287" s="118"/>
      <c r="E287" s="118"/>
      <c r="F287" s="118"/>
      <c r="G287" s="118"/>
      <c r="H287" s="118"/>
    </row>
    <row r="288" spans="1:8" x14ac:dyDescent="0.2">
      <c r="C288" s="118"/>
      <c r="D288" s="118"/>
      <c r="E288" s="118"/>
      <c r="F288" s="118"/>
      <c r="G288" s="118"/>
      <c r="H288" s="118"/>
    </row>
    <row r="289" spans="1:8" x14ac:dyDescent="0.2">
      <c r="A289" s="48" t="str">
        <f>CAPEX!$A$45</f>
        <v>6.15</v>
      </c>
      <c r="B289" s="77"/>
      <c r="C289" s="349" t="str">
        <f>CAPEX!$B$45</f>
        <v>Programa de Monitoramento de Fauna - Avifauna e  Monitoramento da Biota Aquática</v>
      </c>
      <c r="D289" s="350"/>
      <c r="E289" s="350"/>
      <c r="F289" s="350"/>
      <c r="G289" s="350"/>
      <c r="H289" s="145">
        <f>H318</f>
        <v>1405260.96</v>
      </c>
    </row>
    <row r="290" spans="1:8" ht="24" x14ac:dyDescent="0.2">
      <c r="C290" s="45" t="s">
        <v>109</v>
      </c>
      <c r="D290" s="45" t="s">
        <v>28</v>
      </c>
      <c r="E290" s="45" t="s">
        <v>110</v>
      </c>
      <c r="F290" s="45" t="s">
        <v>111</v>
      </c>
      <c r="G290" s="45" t="s">
        <v>112</v>
      </c>
      <c r="H290" s="78" t="s">
        <v>113</v>
      </c>
    </row>
    <row r="291" spans="1:8" x14ac:dyDescent="0.2">
      <c r="C291" s="351" t="s">
        <v>115</v>
      </c>
      <c r="D291" s="352"/>
      <c r="E291" s="352"/>
      <c r="F291" s="352"/>
      <c r="G291" s="352"/>
      <c r="H291" s="353"/>
    </row>
    <row r="292" spans="1:8" x14ac:dyDescent="0.2">
      <c r="A292" s="112"/>
      <c r="B292" s="80" t="s">
        <v>123</v>
      </c>
      <c r="C292" s="81" t="s">
        <v>460</v>
      </c>
      <c r="D292" s="82">
        <f>IF(AND($K$8&gt;0,$K$8&lt;=70),1,IF(AND($K$8&gt;70,$K$8&lt;=150),1,IF(AND($K$8&gt;150),1)))</f>
        <v>1</v>
      </c>
      <c r="E292" s="82">
        <f>IF(AND($K$8&gt;0,$K$8&lt;=70),(1/2)*$K$145,IF(AND($K$8&gt;70,$K$8&lt;=150),(1)*$K$145,IF(AND($K$8&gt;150),(2)*$K$145)))</f>
        <v>4</v>
      </c>
      <c r="F292" s="82" t="s">
        <v>118</v>
      </c>
      <c r="G292" s="83">
        <f>INDEX('TPU MAR-24'!$D$9:$D$999,MATCH(B292,'TPU MAR-24'!$A$9:$A$999,0))</f>
        <v>268.08</v>
      </c>
      <c r="H292" s="83">
        <f t="shared" ref="H292:H296" si="28">D292*E292*G292</f>
        <v>1072.32</v>
      </c>
    </row>
    <row r="293" spans="1:8" x14ac:dyDescent="0.2">
      <c r="A293" s="88"/>
      <c r="B293" s="84" t="s">
        <v>133</v>
      </c>
      <c r="C293" s="81" t="s">
        <v>461</v>
      </c>
      <c r="D293" s="82">
        <v>1</v>
      </c>
      <c r="E293" s="82">
        <f>IF(AND($K$8&gt;0,$K$8&lt;=70),(3)*$K$145,IF(AND($K$8&gt;70,$K$8&lt;=150),(4)*$K$145,IF(AND($K$8&gt;150),(6)*$K$145)))</f>
        <v>24</v>
      </c>
      <c r="F293" s="82" t="s">
        <v>118</v>
      </c>
      <c r="G293" s="83">
        <f>INDEX('TPU MAR-24'!$D$9:$D$999,MATCH(B293,'TPU MAR-24'!$A$9:$A$999,0))</f>
        <v>189.39</v>
      </c>
      <c r="H293" s="83">
        <f t="shared" si="28"/>
        <v>4545.3599999999997</v>
      </c>
    </row>
    <row r="294" spans="1:8" x14ac:dyDescent="0.2">
      <c r="A294" s="88"/>
      <c r="B294" s="84" t="s">
        <v>133</v>
      </c>
      <c r="C294" s="81" t="s">
        <v>462</v>
      </c>
      <c r="D294" s="82">
        <f>IF(AND($K$8&gt;0,$K$8&lt;=70),1,IF(AND($K$8&gt;70,$K$8&lt;=150),1,IF(AND($K$8&gt;150),1)))</f>
        <v>1</v>
      </c>
      <c r="E294" s="82">
        <f>IF(AND($K$8&gt;0,$K$8&lt;=70),(3)*$K$145,IF(AND($K$8&gt;70,$K$8&lt;=150),(4)*$K$145,IF(AND($K$8&gt;150),(6)*$K$145)))</f>
        <v>24</v>
      </c>
      <c r="F294" s="82" t="s">
        <v>118</v>
      </c>
      <c r="G294" s="83">
        <f>INDEX('TPU MAR-24'!$D$9:$D$999,MATCH(B294,'TPU MAR-24'!$A$9:$A$999,0))</f>
        <v>189.39</v>
      </c>
      <c r="H294" s="83">
        <f t="shared" si="28"/>
        <v>4545.3599999999997</v>
      </c>
    </row>
    <row r="295" spans="1:8" x14ac:dyDescent="0.2">
      <c r="A295" s="88"/>
      <c r="B295" s="84" t="s">
        <v>143</v>
      </c>
      <c r="C295" s="81" t="s">
        <v>200</v>
      </c>
      <c r="D295" s="82">
        <f>IF(AND($K$8&gt;0,$K$8&lt;=70),1,IF(AND($K$8&gt;70,$K$8&lt;=150),1,IF(AND($K$8&gt;150),1)))</f>
        <v>1</v>
      </c>
      <c r="E295" s="82">
        <f>IF(AND($K$8&gt;0,$K$8&lt;=70),(1/2)*$K$145,IF(AND($K$8&gt;70,$K$8&lt;=150),(1/2)*$K$145,IF(AND($K$8&gt;150),(1/2)*$K$145)))</f>
        <v>4</v>
      </c>
      <c r="F295" s="82" t="s">
        <v>118</v>
      </c>
      <c r="G295" s="83">
        <f>INDEX('TPU MAR-24'!$D$9:$D$999,MATCH(B295,'TPU MAR-24'!$A$9:$A$999,0))</f>
        <v>94.41</v>
      </c>
      <c r="H295" s="83">
        <f t="shared" si="28"/>
        <v>377.64</v>
      </c>
    </row>
    <row r="296" spans="1:8" x14ac:dyDescent="0.2">
      <c r="A296" s="88"/>
      <c r="B296" s="84" t="s">
        <v>146</v>
      </c>
      <c r="C296" s="81" t="s">
        <v>147</v>
      </c>
      <c r="D296" s="82">
        <f>IF(AND($K$8&gt;0,$K$8&lt;=70),1,IF(AND($K$8&gt;70,$K$8&lt;=150),1,IF(AND($K$8&gt;150),1)))</f>
        <v>1</v>
      </c>
      <c r="E296" s="82">
        <f>IF(AND($K$8&gt;0,$K$8&lt;=70),(1/4)*$K$145,IF(AND($K$8&gt;70,$K$8&lt;=150),(1/4)*$K$145,IF(AND($K$8&gt;150),(2/4)*$K$145)))</f>
        <v>2</v>
      </c>
      <c r="F296" s="82" t="s">
        <v>118</v>
      </c>
      <c r="G296" s="83">
        <f>INDEX('TPU MAR-24'!$D$9:$D$999,MATCH(B296,'TPU MAR-24'!$A$9:$A$999,0))</f>
        <v>46.06</v>
      </c>
      <c r="H296" s="83">
        <f t="shared" si="28"/>
        <v>92.12</v>
      </c>
    </row>
    <row r="297" spans="1:8" x14ac:dyDescent="0.2">
      <c r="C297" s="385" t="s">
        <v>149</v>
      </c>
      <c r="D297" s="386"/>
      <c r="E297" s="386"/>
      <c r="F297" s="386"/>
      <c r="G297" s="386"/>
      <c r="H297" s="387"/>
    </row>
    <row r="298" spans="1:8" x14ac:dyDescent="0.2">
      <c r="A298" s="88"/>
      <c r="B298" s="84" t="s">
        <v>133</v>
      </c>
      <c r="C298" s="81" t="s">
        <v>461</v>
      </c>
      <c r="D298" s="82">
        <v>1</v>
      </c>
      <c r="E298" s="82">
        <f>IF(AND($K$22&gt;=0,$K$22&lt;3),($K$23*(($K$27*$K$146)+($K$149*$K$146))),IF(AND($K$22&gt;=3,$K$22&lt;10),($K$23*(($K$28*$K$146)+($K$149*$K$146))),IF($K$22&gt;=10,($K$24*(($K$29*$K$146)+($K$149*$K$146))),"")))</f>
        <v>60</v>
      </c>
      <c r="F298" s="82" t="s">
        <v>118</v>
      </c>
      <c r="G298" s="83">
        <f>INDEX('TPU MAR-24'!$D$9:$D$999,MATCH(B298,'TPU MAR-24'!$A$9:$A$999,0))</f>
        <v>189.39</v>
      </c>
      <c r="H298" s="83">
        <f>D298*E298*G298</f>
        <v>11363.4</v>
      </c>
    </row>
    <row r="299" spans="1:8" x14ac:dyDescent="0.2">
      <c r="A299" s="88"/>
      <c r="B299" s="84" t="s">
        <v>204</v>
      </c>
      <c r="C299" s="81" t="s">
        <v>463</v>
      </c>
      <c r="D299" s="82">
        <v>1</v>
      </c>
      <c r="E299" s="82">
        <f>IF(AND($K$22&gt;=0,$K$22&lt;3),($K$23*(($K$27*$K$146))),IF(AND($K$22&gt;=3,$K$22&lt;10),($K$23*(($K$28*$K$146))),IF($K$22&gt;=10,($K$24*(($K$29*$K$146))),"")))</f>
        <v>50</v>
      </c>
      <c r="F299" s="82" t="s">
        <v>118</v>
      </c>
      <c r="G299" s="83">
        <f>INDEX('TPU MAR-24'!$D$9:$D$999,MATCH(B299,'TPU MAR-24'!$A$9:$A$999,0))</f>
        <v>24.14</v>
      </c>
      <c r="H299" s="83">
        <f>D299*E299*G299</f>
        <v>1207</v>
      </c>
    </row>
    <row r="300" spans="1:8" x14ac:dyDescent="0.2">
      <c r="A300" s="88"/>
      <c r="B300" s="84" t="s">
        <v>133</v>
      </c>
      <c r="C300" s="81" t="s">
        <v>462</v>
      </c>
      <c r="D300" s="82">
        <f>IF(AND($K$8&gt;0,$K$8&lt;=70),1,IF(AND($K$8&gt;70,$K$8&lt;=150),1,IF(AND($K$8&gt;150),1)))</f>
        <v>1</v>
      </c>
      <c r="E300" s="82">
        <f>($K$39*$K$146)+($K$149*$K$146)</f>
        <v>20</v>
      </c>
      <c r="F300" s="82" t="s">
        <v>118</v>
      </c>
      <c r="G300" s="83">
        <f>INDEX('TPU MAR-24'!$D$9:$D$999,MATCH(B300,'TPU MAR-24'!$A$9:$A$999,0))</f>
        <v>189.39</v>
      </c>
      <c r="H300" s="83">
        <f>D300*E300*G300</f>
        <v>3787.7999999999997</v>
      </c>
    </row>
    <row r="301" spans="1:8" x14ac:dyDescent="0.2">
      <c r="A301" s="88"/>
      <c r="B301" s="84" t="s">
        <v>204</v>
      </c>
      <c r="C301" s="81" t="s">
        <v>464</v>
      </c>
      <c r="D301" s="82">
        <f>IF(AND($K$8&gt;0,$K$8&lt;=70),2,IF(AND($K$8&gt;70,$K$8&lt;=150),2,IF(AND($K$8&gt;150),2)))</f>
        <v>2</v>
      </c>
      <c r="E301" s="82">
        <f>($K$39*$K$146)</f>
        <v>10</v>
      </c>
      <c r="F301" s="82" t="s">
        <v>118</v>
      </c>
      <c r="G301" s="83">
        <f>INDEX('TPU MAR-24'!$D$9:$D$999,MATCH(B301,'TPU MAR-24'!$A$9:$A$999,0))</f>
        <v>24.14</v>
      </c>
      <c r="H301" s="83">
        <f>D301*E301*G301</f>
        <v>482.8</v>
      </c>
    </row>
    <row r="302" spans="1:8" x14ac:dyDescent="0.2">
      <c r="C302" s="354" t="s">
        <v>179</v>
      </c>
      <c r="D302" s="355"/>
      <c r="E302" s="355"/>
      <c r="F302" s="355"/>
      <c r="G302" s="356"/>
      <c r="H302" s="89">
        <f>SUM(H292:H301)</f>
        <v>27473.799999999996</v>
      </c>
    </row>
    <row r="303" spans="1:8" x14ac:dyDescent="0.2">
      <c r="C303" s="351" t="s">
        <v>158</v>
      </c>
      <c r="D303" s="352"/>
      <c r="E303" s="352"/>
      <c r="F303" s="352"/>
      <c r="G303" s="352"/>
      <c r="H303" s="353"/>
    </row>
    <row r="304" spans="1:8" x14ac:dyDescent="0.2">
      <c r="C304" s="81" t="s">
        <v>465</v>
      </c>
      <c r="D304" s="26">
        <f>D298</f>
        <v>1</v>
      </c>
      <c r="E304" s="82">
        <f>IF(AND($K$22&gt;=0,$K$22&lt;3),($K$23*(($K$27)+($K$149))),IF(AND($K$22&gt;=3,$K$22&lt;10),($K$23*(($K$28)+($K$149))),IF($K$22&gt;=10,($K$24*(($K$29)+($K$149))),"")))</f>
        <v>6</v>
      </c>
      <c r="F304" s="82" t="s">
        <v>161</v>
      </c>
      <c r="G304" s="83">
        <f>'TPU MAR-24'!$C$52</f>
        <v>318.24</v>
      </c>
      <c r="H304" s="83">
        <f t="shared" ref="H304:H315" si="29">D304*E304*G304</f>
        <v>1909.44</v>
      </c>
    </row>
    <row r="305" spans="3:8" x14ac:dyDescent="0.2">
      <c r="C305" s="81" t="s">
        <v>466</v>
      </c>
      <c r="D305" s="26">
        <f>D299</f>
        <v>1</v>
      </c>
      <c r="E305" s="82">
        <f>IF(AND($K$22&gt;=0,$K$22&lt;3),($K$23*(($K$27))),IF(AND($K$22&gt;=3,$K$22&lt;10),($K$23*(($K$28))),IF($K$22&gt;=10,($K$24*(($K$29))),"")))</f>
        <v>5</v>
      </c>
      <c r="F305" s="82" t="s">
        <v>161</v>
      </c>
      <c r="G305" s="83">
        <f>'TPU MAR-24'!$C$53</f>
        <v>159.12</v>
      </c>
      <c r="H305" s="83">
        <f t="shared" si="29"/>
        <v>795.6</v>
      </c>
    </row>
    <row r="306" spans="3:8" x14ac:dyDescent="0.2">
      <c r="C306" s="81" t="s">
        <v>467</v>
      </c>
      <c r="D306" s="26">
        <f>D300</f>
        <v>1</v>
      </c>
      <c r="E306" s="82">
        <f>($K$39)+($K$149)</f>
        <v>2</v>
      </c>
      <c r="F306" s="82" t="s">
        <v>161</v>
      </c>
      <c r="G306" s="83">
        <f>'TPU MAR-24'!$C$52</f>
        <v>318.24</v>
      </c>
      <c r="H306" s="83">
        <f t="shared" si="29"/>
        <v>636.48</v>
      </c>
    </row>
    <row r="307" spans="3:8" x14ac:dyDescent="0.2">
      <c r="C307" s="81" t="s">
        <v>468</v>
      </c>
      <c r="D307" s="26">
        <f>D301</f>
        <v>2</v>
      </c>
      <c r="E307" s="82">
        <f>($K$39)</f>
        <v>1</v>
      </c>
      <c r="F307" s="82" t="s">
        <v>161</v>
      </c>
      <c r="G307" s="83">
        <f>'TPU MAR-24'!$C$53</f>
        <v>159.12</v>
      </c>
      <c r="H307" s="83">
        <f>D307*E307*G307</f>
        <v>318.24</v>
      </c>
    </row>
    <row r="308" spans="3:8" x14ac:dyDescent="0.2">
      <c r="C308" s="81" t="s">
        <v>167</v>
      </c>
      <c r="D308" s="26">
        <v>1</v>
      </c>
      <c r="E308" s="82">
        <v>1</v>
      </c>
      <c r="F308" s="82" t="s">
        <v>168</v>
      </c>
      <c r="G308" s="93">
        <v>1500</v>
      </c>
      <c r="H308" s="83">
        <f t="shared" si="29"/>
        <v>1500</v>
      </c>
    </row>
    <row r="309" spans="3:8" x14ac:dyDescent="0.2">
      <c r="C309" s="81" t="s">
        <v>469</v>
      </c>
      <c r="D309" s="26">
        <f>D298</f>
        <v>1</v>
      </c>
      <c r="E309" s="82">
        <v>1</v>
      </c>
      <c r="F309" s="82" t="s">
        <v>168</v>
      </c>
      <c r="G309" s="83">
        <f>$K$30</f>
        <v>1000</v>
      </c>
      <c r="H309" s="83">
        <f t="shared" si="29"/>
        <v>1000</v>
      </c>
    </row>
    <row r="310" spans="3:8" x14ac:dyDescent="0.2">
      <c r="C310" s="81" t="s">
        <v>470</v>
      </c>
      <c r="D310" s="26">
        <f>D300</f>
        <v>1</v>
      </c>
      <c r="E310" s="82">
        <v>1</v>
      </c>
      <c r="F310" s="82" t="s">
        <v>168</v>
      </c>
      <c r="G310" s="83">
        <f>($K$38*$K$33)+($K$32)</f>
        <v>12200</v>
      </c>
      <c r="H310" s="83">
        <f t="shared" si="29"/>
        <v>12200</v>
      </c>
    </row>
    <row r="311" spans="3:8" x14ac:dyDescent="0.2">
      <c r="C311" s="81" t="s">
        <v>313</v>
      </c>
      <c r="D311" s="26">
        <f>$K$40</f>
        <v>3</v>
      </c>
      <c r="E311" s="82">
        <v>1</v>
      </c>
      <c r="F311" s="82" t="s">
        <v>168</v>
      </c>
      <c r="G311" s="83">
        <f>$K$31</f>
        <v>23000</v>
      </c>
      <c r="H311" s="83">
        <f>D311*E311*G311</f>
        <v>69000</v>
      </c>
    </row>
    <row r="312" spans="3:8" x14ac:dyDescent="0.2">
      <c r="C312" s="81" t="s">
        <v>471</v>
      </c>
      <c r="D312" s="26">
        <f>D298</f>
        <v>1</v>
      </c>
      <c r="E312" s="82">
        <f>IF(AND($K$22&gt;=0,$K$22&lt;3),($K$23*(($K$27)+($K$149))),IF(AND($K$22&gt;=3,$K$22&lt;10),($K$23*(($K$28)+($K$149))),IF($K$22&gt;=10,($K$24*(($K$29)+($K$149))),"")))</f>
        <v>6</v>
      </c>
      <c r="F312" s="82" t="s">
        <v>161</v>
      </c>
      <c r="G312" s="95">
        <f>'TPU MAR-24'!$D$42</f>
        <v>193.64</v>
      </c>
      <c r="H312" s="83">
        <f t="shared" si="29"/>
        <v>1161.8399999999999</v>
      </c>
    </row>
    <row r="313" spans="3:8" x14ac:dyDescent="0.2">
      <c r="C313" s="81" t="s">
        <v>472</v>
      </c>
      <c r="D313" s="26">
        <f>D299</f>
        <v>1</v>
      </c>
      <c r="E313" s="151">
        <f>$K$18</f>
        <v>280</v>
      </c>
      <c r="F313" s="26" t="s">
        <v>173</v>
      </c>
      <c r="G313" s="95">
        <f>'TPU MAR-24'!$D$40</f>
        <v>1.29</v>
      </c>
      <c r="H313" s="83">
        <f t="shared" si="29"/>
        <v>361.2</v>
      </c>
    </row>
    <row r="314" spans="3:8" x14ac:dyDescent="0.2">
      <c r="C314" s="81" t="s">
        <v>473</v>
      </c>
      <c r="D314" s="26">
        <f>D300</f>
        <v>1</v>
      </c>
      <c r="E314" s="82">
        <f>($K$39)+($K$149)</f>
        <v>2</v>
      </c>
      <c r="F314" s="82" t="s">
        <v>161</v>
      </c>
      <c r="G314" s="95">
        <f>'TPU MAR-24'!$D$42</f>
        <v>193.64</v>
      </c>
      <c r="H314" s="83">
        <f t="shared" si="29"/>
        <v>387.28</v>
      </c>
    </row>
    <row r="315" spans="3:8" x14ac:dyDescent="0.2">
      <c r="C315" s="81" t="s">
        <v>474</v>
      </c>
      <c r="D315" s="26">
        <f>D300</f>
        <v>1</v>
      </c>
      <c r="E315" s="151">
        <f>$K$18</f>
        <v>280</v>
      </c>
      <c r="F315" s="26" t="s">
        <v>173</v>
      </c>
      <c r="G315" s="95">
        <f>'TPU MAR-24'!$D$40</f>
        <v>1.29</v>
      </c>
      <c r="H315" s="83">
        <f t="shared" si="29"/>
        <v>361.2</v>
      </c>
    </row>
    <row r="316" spans="3:8" x14ac:dyDescent="0.2">
      <c r="C316" s="354" t="s">
        <v>179</v>
      </c>
      <c r="D316" s="355"/>
      <c r="E316" s="355"/>
      <c r="F316" s="355"/>
      <c r="G316" s="356"/>
      <c r="H316" s="97">
        <f>SUM(H304:H315)</f>
        <v>89631.28</v>
      </c>
    </row>
    <row r="317" spans="3:8" x14ac:dyDescent="0.2">
      <c r="C317" s="354" t="s">
        <v>219</v>
      </c>
      <c r="D317" s="355"/>
      <c r="E317" s="355"/>
      <c r="F317" s="355"/>
      <c r="G317" s="356"/>
      <c r="H317" s="89">
        <f>H302+H316</f>
        <v>117105.07999999999</v>
      </c>
    </row>
    <row r="318" spans="3:8" x14ac:dyDescent="0.2">
      <c r="C318" s="357" t="s">
        <v>267</v>
      </c>
      <c r="D318" s="357"/>
      <c r="E318" s="357"/>
      <c r="F318" s="357"/>
      <c r="G318" s="102">
        <f>$K$129/$K$126</f>
        <v>12</v>
      </c>
      <c r="H318" s="89">
        <f>H317*G318</f>
        <v>1405260.96</v>
      </c>
    </row>
    <row r="319" spans="3:8" x14ac:dyDescent="0.2">
      <c r="C319" s="118"/>
      <c r="D319" s="118"/>
      <c r="E319" s="118"/>
      <c r="F319" s="118"/>
      <c r="G319" s="118"/>
      <c r="H319" s="118"/>
    </row>
    <row r="320" spans="3:8" x14ac:dyDescent="0.2">
      <c r="C320" s="118"/>
      <c r="D320" s="118"/>
      <c r="E320" s="118"/>
      <c r="F320" s="118"/>
      <c r="G320" s="118"/>
      <c r="H320" s="118"/>
    </row>
    <row r="321" spans="1:8" x14ac:dyDescent="0.2">
      <c r="A321" s="48" t="str">
        <f>CAPEX!$A$46</f>
        <v>6.16</v>
      </c>
      <c r="B321" s="77"/>
      <c r="C321" s="349" t="str">
        <f>CAPEX!$B$46</f>
        <v>Programa de Manejo e Recomposição Vegetal
Subprograma de Resgate de Fauna e Flora</v>
      </c>
      <c r="D321" s="350"/>
      <c r="E321" s="350"/>
      <c r="F321" s="350"/>
      <c r="G321" s="350"/>
      <c r="H321" s="145">
        <f>H343+H364</f>
        <v>281770.80000000005</v>
      </c>
    </row>
    <row r="322" spans="1:8" ht="24" x14ac:dyDescent="0.2">
      <c r="C322" s="45" t="s">
        <v>109</v>
      </c>
      <c r="D322" s="45" t="s">
        <v>28</v>
      </c>
      <c r="E322" s="45" t="s">
        <v>110</v>
      </c>
      <c r="F322" s="45" t="s">
        <v>111</v>
      </c>
      <c r="G322" s="45" t="s">
        <v>112</v>
      </c>
      <c r="H322" s="78" t="s">
        <v>113</v>
      </c>
    </row>
    <row r="323" spans="1:8" ht="12" customHeight="1" x14ac:dyDescent="0.2">
      <c r="C323" s="351" t="s">
        <v>190</v>
      </c>
      <c r="D323" s="352"/>
      <c r="E323" s="352"/>
      <c r="F323" s="352"/>
      <c r="G323" s="352"/>
      <c r="H323" s="353"/>
    </row>
    <row r="324" spans="1:8" ht="12" customHeight="1" x14ac:dyDescent="0.2">
      <c r="A324" s="112"/>
      <c r="B324" s="80" t="s">
        <v>123</v>
      </c>
      <c r="C324" s="81" t="s">
        <v>452</v>
      </c>
      <c r="D324" s="82">
        <f>IF(AND($K$11&gt;0,$K$11&lt;=70),1,IF(AND($K$11&gt;70,$K$11&lt;=150),1,IF(AND($K$11&gt;150),1)))</f>
        <v>1</v>
      </c>
      <c r="E324" s="82">
        <f>IF(AND($K$11&gt;0,$K$11&lt;=70),(2)*$K$145,IF(AND($K$11&gt;70,$K$11&lt;=150),(3)*$K$145,IF(AND($K$11&gt;150),(3)*$K$145)))</f>
        <v>16</v>
      </c>
      <c r="F324" s="82" t="s">
        <v>118</v>
      </c>
      <c r="G324" s="83">
        <f>INDEX('TPU MAR-24'!$D$9:$D$999,MATCH(B324,'TPU MAR-24'!$A$9:$A$999,0))</f>
        <v>268.08</v>
      </c>
      <c r="H324" s="83">
        <f>D324*E324*G324</f>
        <v>4289.28</v>
      </c>
    </row>
    <row r="325" spans="1:8" x14ac:dyDescent="0.2">
      <c r="A325" s="88"/>
      <c r="B325" s="84" t="s">
        <v>143</v>
      </c>
      <c r="C325" s="81" t="s">
        <v>200</v>
      </c>
      <c r="D325" s="82">
        <f>IF(AND($K$11&gt;0,$K$11&lt;=70),1,IF(AND($K$11&gt;70,$K$11&lt;=150),1,IF(AND($K$11&gt;150),1)))</f>
        <v>1</v>
      </c>
      <c r="E325" s="82">
        <f>IF(AND($K$11&gt;0,$K$11&lt;=70),(1/4)*$K$145,IF(AND($K$11&gt;70,$K$11&lt;=150),(1/4)*$K$145,IF(AND($K$11&gt;150),(2/4)*$K$145)))</f>
        <v>2</v>
      </c>
      <c r="F325" s="82" t="s">
        <v>118</v>
      </c>
      <c r="G325" s="83">
        <f>INDEX('TPU MAR-24'!$D$9:$D$999,MATCH(B325,'TPU MAR-24'!$A$9:$A$999,0))</f>
        <v>94.41</v>
      </c>
      <c r="H325" s="83">
        <f>D325*E325*G325</f>
        <v>188.82</v>
      </c>
    </row>
    <row r="326" spans="1:8" x14ac:dyDescent="0.2">
      <c r="A326" s="88"/>
      <c r="B326" s="84" t="s">
        <v>146</v>
      </c>
      <c r="C326" s="81" t="s">
        <v>147</v>
      </c>
      <c r="D326" s="82">
        <f>IF(AND($K$11&gt;0,$K$11&lt;=70),1,IF(AND($K$11&gt;70,$K$11&lt;=150),1,IF(AND($K$11&gt;150),1)))</f>
        <v>1</v>
      </c>
      <c r="E326" s="82">
        <f>IF(AND($K$11&gt;0,$K$11&lt;=70),(1/4)*$K$145,IF(AND($K$11&gt;70,$K$11&lt;=150),(1/4)*$K$145,IF(AND($K$11&gt;150),(2/4)*$K$145)))</f>
        <v>2</v>
      </c>
      <c r="F326" s="82" t="s">
        <v>118</v>
      </c>
      <c r="G326" s="83">
        <f>INDEX('TPU MAR-24'!$D$9:$D$999,MATCH(B326,'TPU MAR-24'!$A$9:$A$999,0))</f>
        <v>46.06</v>
      </c>
      <c r="H326" s="83">
        <f>D326*E326*G326</f>
        <v>92.12</v>
      </c>
    </row>
    <row r="327" spans="1:8" x14ac:dyDescent="0.2">
      <c r="C327" s="351" t="s">
        <v>149</v>
      </c>
      <c r="D327" s="352"/>
      <c r="E327" s="352"/>
      <c r="F327" s="352"/>
      <c r="G327" s="352"/>
      <c r="H327" s="353"/>
    </row>
    <row r="328" spans="1:8" ht="12" customHeight="1" x14ac:dyDescent="0.2">
      <c r="A328" s="112"/>
      <c r="B328" s="84" t="s">
        <v>133</v>
      </c>
      <c r="C328" s="81" t="s">
        <v>235</v>
      </c>
      <c r="D328" s="82">
        <f>IF(AND($K$11&gt;0,$K$11&lt;=70),1,IF(AND($K$11&gt;70,$K$11&lt;=150),1,IF(AND($K$11&gt;150),1)))</f>
        <v>1</v>
      </c>
      <c r="E328" s="82">
        <f>$K$51*$K$150</f>
        <v>176</v>
      </c>
      <c r="F328" s="82" t="s">
        <v>118</v>
      </c>
      <c r="G328" s="83">
        <f>INDEX('TPU MAR-24'!$D$9:$D$999,MATCH(B328,'TPU MAR-24'!$A$9:$A$999,0))</f>
        <v>189.39</v>
      </c>
      <c r="H328" s="83">
        <f>D328*E328*G328</f>
        <v>33332.639999999999</v>
      </c>
    </row>
    <row r="329" spans="1:8" x14ac:dyDescent="0.2">
      <c r="A329" s="88"/>
      <c r="B329" s="84" t="s">
        <v>204</v>
      </c>
      <c r="C329" s="81" t="s">
        <v>205</v>
      </c>
      <c r="D329" s="82">
        <f>IF(AND($K$11&gt;0,$K$11&lt;=70),1,IF(AND($K$11&gt;70,$K$11&lt;=150),1,IF(AND($K$11&gt;150),1)))</f>
        <v>1</v>
      </c>
      <c r="E329" s="82">
        <f>$K$51*$K$150</f>
        <v>176</v>
      </c>
      <c r="F329" s="82" t="s">
        <v>118</v>
      </c>
      <c r="G329" s="83">
        <f>INDEX('TPU MAR-24'!$D$9:$D$999,MATCH(B329,'TPU MAR-24'!$A$9:$A$999,0))</f>
        <v>24.14</v>
      </c>
      <c r="H329" s="83">
        <f t="shared" ref="H329" si="30">D329*E329*G329</f>
        <v>4248.6400000000003</v>
      </c>
    </row>
    <row r="330" spans="1:8" x14ac:dyDescent="0.2">
      <c r="C330" s="354" t="s">
        <v>179</v>
      </c>
      <c r="D330" s="355"/>
      <c r="E330" s="355"/>
      <c r="F330" s="355"/>
      <c r="G330" s="356"/>
      <c r="H330" s="89">
        <f>SUM(H324:H329)</f>
        <v>42151.5</v>
      </c>
    </row>
    <row r="331" spans="1:8" x14ac:dyDescent="0.2">
      <c r="C331" s="351" t="s">
        <v>158</v>
      </c>
      <c r="D331" s="352"/>
      <c r="E331" s="352"/>
      <c r="F331" s="352"/>
      <c r="G331" s="352"/>
      <c r="H331" s="353"/>
    </row>
    <row r="332" spans="1:8" x14ac:dyDescent="0.2">
      <c r="C332" s="81" t="s">
        <v>236</v>
      </c>
      <c r="D332" s="26">
        <f>$D$328</f>
        <v>1</v>
      </c>
      <c r="E332" s="82">
        <v>30</v>
      </c>
      <c r="F332" s="82" t="s">
        <v>161</v>
      </c>
      <c r="G332" s="83">
        <f>'TPU MAR-24'!$C$52</f>
        <v>318.24</v>
      </c>
      <c r="H332" s="83">
        <f>D332*E332*G332</f>
        <v>9547.2000000000007</v>
      </c>
    </row>
    <row r="333" spans="1:8" x14ac:dyDescent="0.2">
      <c r="C333" s="81" t="s">
        <v>225</v>
      </c>
      <c r="D333" s="26">
        <f>$D$329</f>
        <v>1</v>
      </c>
      <c r="E333" s="82">
        <v>30</v>
      </c>
      <c r="F333" s="82" t="s">
        <v>161</v>
      </c>
      <c r="G333" s="83">
        <f>'TPU MAR-24'!$C$53</f>
        <v>159.12</v>
      </c>
      <c r="H333" s="83">
        <f>D333*E333*G333</f>
        <v>4773.6000000000004</v>
      </c>
    </row>
    <row r="334" spans="1:8" x14ac:dyDescent="0.2">
      <c r="C334" s="81" t="s">
        <v>398</v>
      </c>
      <c r="D334" s="26">
        <f>$D$328</f>
        <v>1</v>
      </c>
      <c r="E334" s="82">
        <f>$K$51</f>
        <v>1</v>
      </c>
      <c r="F334" s="82" t="s">
        <v>321</v>
      </c>
      <c r="G334" s="93">
        <v>1800</v>
      </c>
      <c r="H334" s="83">
        <f>D334*E334*G334</f>
        <v>1800</v>
      </c>
    </row>
    <row r="335" spans="1:8" x14ac:dyDescent="0.2">
      <c r="C335" s="81" t="s">
        <v>167</v>
      </c>
      <c r="D335" s="26">
        <v>1</v>
      </c>
      <c r="E335" s="82">
        <v>1</v>
      </c>
      <c r="F335" s="82" t="s">
        <v>168</v>
      </c>
      <c r="G335" s="93">
        <v>1500</v>
      </c>
      <c r="H335" s="83">
        <f>D335*E335*G335</f>
        <v>1500</v>
      </c>
    </row>
    <row r="336" spans="1:8" x14ac:dyDescent="0.2">
      <c r="C336" s="81" t="s">
        <v>237</v>
      </c>
      <c r="D336" s="26">
        <f>$D$328</f>
        <v>1</v>
      </c>
      <c r="E336" s="82">
        <v>1</v>
      </c>
      <c r="F336" s="82" t="s">
        <v>168</v>
      </c>
      <c r="G336" s="83">
        <f>$K$47</f>
        <v>600</v>
      </c>
      <c r="H336" s="83">
        <f t="shared" ref="H336" si="31">D336*E336*G336</f>
        <v>600</v>
      </c>
    </row>
    <row r="337" spans="1:10" x14ac:dyDescent="0.2">
      <c r="C337" s="81" t="s">
        <v>457</v>
      </c>
      <c r="D337" s="82">
        <f>IF(AND($K$11&gt;0,$K$11&lt;=50),(1),IF(AND($K$11&gt;50,$K$11&lt;=100),(2),IF(AND($K$11&gt;100,$K$11&lt;=150),(3),IF(AND($K$11&gt;150,$K$11&lt;=200),(4),IF(AND($K$11&gt;200,$K$11&lt;=250),(5),IF(AND($K$11&gt;250,$K$11&lt;=300),(6),IF(AND($K$11&gt;300,$K$11&lt;=350),(7),IF(AND($K$11&gt;350,$K$11&lt;=400),(8),IF(AND($K$11&gt;400,$K$11&lt;=450),(9),IF(AND($K$11&gt;450,$K$11&lt;=500),(10),IF(AND($K$11&gt;500,$K$11&lt;=600),11)))))))))))</f>
        <v>1</v>
      </c>
      <c r="E337" s="82">
        <v>1</v>
      </c>
      <c r="F337" s="82" t="s">
        <v>168</v>
      </c>
      <c r="G337" s="83">
        <f>$K$54</f>
        <v>3800</v>
      </c>
      <c r="H337" s="83">
        <f>D337*E337*G337</f>
        <v>3800</v>
      </c>
    </row>
    <row r="338" spans="1:10" x14ac:dyDescent="0.2">
      <c r="C338" s="81" t="s">
        <v>170</v>
      </c>
      <c r="D338" s="26">
        <f>$D$328</f>
        <v>1</v>
      </c>
      <c r="E338" s="26">
        <v>30</v>
      </c>
      <c r="F338" s="82" t="s">
        <v>161</v>
      </c>
      <c r="G338" s="95">
        <f>'TPU MAR-24'!$D$42</f>
        <v>193.64</v>
      </c>
      <c r="H338" s="83">
        <f t="shared" ref="H338:H339" si="32">D338*E338*G338</f>
        <v>5809.2</v>
      </c>
    </row>
    <row r="339" spans="1:10" x14ac:dyDescent="0.2">
      <c r="C339" s="81" t="s">
        <v>401</v>
      </c>
      <c r="D339" s="26">
        <f>D329</f>
        <v>1</v>
      </c>
      <c r="E339" s="151">
        <f>$K$18</f>
        <v>280</v>
      </c>
      <c r="F339" s="26" t="s">
        <v>173</v>
      </c>
      <c r="G339" s="95">
        <f>'TPU MAR-24'!$D$40</f>
        <v>1.29</v>
      </c>
      <c r="H339" s="83">
        <f t="shared" si="32"/>
        <v>361.2</v>
      </c>
    </row>
    <row r="340" spans="1:10" x14ac:dyDescent="0.2">
      <c r="C340" s="354" t="s">
        <v>179</v>
      </c>
      <c r="D340" s="355"/>
      <c r="E340" s="355"/>
      <c r="F340" s="355"/>
      <c r="G340" s="356"/>
      <c r="H340" s="119">
        <f>SUM(H332:H339)</f>
        <v>28191.200000000004</v>
      </c>
    </row>
    <row r="341" spans="1:10" x14ac:dyDescent="0.2">
      <c r="C341" s="354" t="s">
        <v>458</v>
      </c>
      <c r="D341" s="355"/>
      <c r="E341" s="355"/>
      <c r="F341" s="355"/>
      <c r="G341" s="356"/>
      <c r="H341" s="119">
        <f>H330+H340</f>
        <v>70342.700000000012</v>
      </c>
    </row>
    <row r="342" spans="1:10" x14ac:dyDescent="0.2">
      <c r="C342" s="354" t="s">
        <v>482</v>
      </c>
      <c r="D342" s="355"/>
      <c r="E342" s="356"/>
      <c r="F342" s="102">
        <f>$K$53</f>
        <v>1</v>
      </c>
      <c r="G342" s="102">
        <f>$K$50*$K$6</f>
        <v>2</v>
      </c>
      <c r="H342" s="119">
        <f>H341*F342*G342</f>
        <v>140685.40000000002</v>
      </c>
    </row>
    <row r="343" spans="1:10" x14ac:dyDescent="0.2">
      <c r="C343" s="354" t="s">
        <v>893</v>
      </c>
      <c r="D343" s="355"/>
      <c r="E343" s="355"/>
      <c r="F343" s="355"/>
      <c r="G343" s="356"/>
      <c r="H343" s="119">
        <f>SUM(H342:H342)</f>
        <v>140685.40000000002</v>
      </c>
    </row>
    <row r="344" spans="1:10" x14ac:dyDescent="0.2">
      <c r="C344" s="351" t="s">
        <v>190</v>
      </c>
      <c r="D344" s="352"/>
      <c r="E344" s="352"/>
      <c r="F344" s="352"/>
      <c r="G344" s="352"/>
      <c r="H344" s="353"/>
    </row>
    <row r="345" spans="1:10" x14ac:dyDescent="0.2">
      <c r="A345" s="112"/>
      <c r="B345" s="80" t="s">
        <v>123</v>
      </c>
      <c r="C345" s="81" t="s">
        <v>234</v>
      </c>
      <c r="D345" s="82">
        <f>IF(AND($K$11&gt;0,$K$11&lt;=70),1,IF(AND($K$11&gt;70,$K$11&lt;=150),1,IF(AND($K$11&gt;150),1)))</f>
        <v>1</v>
      </c>
      <c r="E345" s="82">
        <f>IF(AND($K$11&gt;0,$K$11&lt;=70),(2)*$K$145,IF(AND($K$11&gt;70,$K$11&lt;=150),(3)*$K$145,IF(AND($K$11&gt;150),(3)*$K$145)))</f>
        <v>16</v>
      </c>
      <c r="F345" s="82" t="s">
        <v>118</v>
      </c>
      <c r="G345" s="83">
        <f>INDEX('TPU MAR-24'!$D$9:$D$999,MATCH(B345,'TPU MAR-24'!$A$9:$A$999,0))</f>
        <v>268.08</v>
      </c>
      <c r="H345" s="83">
        <f>D345*E345*G345</f>
        <v>4289.28</v>
      </c>
    </row>
    <row r="346" spans="1:10" x14ac:dyDescent="0.2">
      <c r="A346" s="88"/>
      <c r="B346" s="84" t="s">
        <v>143</v>
      </c>
      <c r="C346" s="81" t="s">
        <v>200</v>
      </c>
      <c r="D346" s="82">
        <f>IF(AND($K$11&gt;0,$K$11&lt;=70),1,IF(AND($K$11&gt;70,$K$11&lt;=150),1,IF(AND($K$11&gt;150),1)))</f>
        <v>1</v>
      </c>
      <c r="E346" s="82">
        <f>IF(AND($K$11&gt;0,$K$11&lt;=70),(1/4)*$K$145,IF(AND($K$11&gt;70,$K$11&lt;=150),(1/4)*$K$145,IF(AND($K$11&gt;150),(2/4)*$K$145)))</f>
        <v>2</v>
      </c>
      <c r="F346" s="82" t="s">
        <v>118</v>
      </c>
      <c r="G346" s="83">
        <f>INDEX('TPU MAR-24'!$D$9:$D$999,MATCH(B346,'TPU MAR-24'!$A$9:$A$999,0))</f>
        <v>94.41</v>
      </c>
      <c r="H346" s="83">
        <f>D346*E346*G346</f>
        <v>188.82</v>
      </c>
    </row>
    <row r="347" spans="1:10" x14ac:dyDescent="0.2">
      <c r="A347" s="88"/>
      <c r="B347" s="84" t="s">
        <v>146</v>
      </c>
      <c r="C347" s="81" t="s">
        <v>147</v>
      </c>
      <c r="D347" s="82">
        <f>IF(AND($K$11&gt;0,$K$11&lt;=70),1,IF(AND($K$11&gt;70,$K$11&lt;=150),1,IF(AND($K$11&gt;150),1)))</f>
        <v>1</v>
      </c>
      <c r="E347" s="82">
        <f>IF(AND($K$11&gt;0,$K$11&lt;=70),(1/4)*$K$145,IF(AND($K$11&gt;70,$K$11&lt;=150),(1/4)*$K$145,IF(AND($K$11&gt;150),(2/4)*$K$145)))</f>
        <v>2</v>
      </c>
      <c r="F347" s="82" t="s">
        <v>118</v>
      </c>
      <c r="G347" s="83">
        <f>INDEX('TPU MAR-24'!$D$9:$D$999,MATCH(B347,'TPU MAR-24'!$A$9:$A$999,0))</f>
        <v>46.06</v>
      </c>
      <c r="H347" s="83">
        <f>D347*E347*G347</f>
        <v>92.12</v>
      </c>
    </row>
    <row r="348" spans="1:10" x14ac:dyDescent="0.2">
      <c r="B348" s="84" t="s">
        <v>143</v>
      </c>
      <c r="C348" s="351" t="s">
        <v>149</v>
      </c>
      <c r="D348" s="352"/>
      <c r="E348" s="352"/>
      <c r="F348" s="352"/>
      <c r="G348" s="352"/>
      <c r="H348" s="353"/>
    </row>
    <row r="349" spans="1:10" x14ac:dyDescent="0.2">
      <c r="A349" s="112"/>
      <c r="B349" s="84" t="s">
        <v>133</v>
      </c>
      <c r="C349" s="81" t="s">
        <v>235</v>
      </c>
      <c r="D349" s="82">
        <f>IF(AND($K$11&gt;0,$K$11&lt;=70),1,IF(AND($K$11&gt;70,$K$11&lt;=150),1,IF(AND($K$11&gt;150),1)))</f>
        <v>1</v>
      </c>
      <c r="E349" s="82">
        <f>$K$150</f>
        <v>176</v>
      </c>
      <c r="F349" s="82" t="s">
        <v>118</v>
      </c>
      <c r="G349" s="83">
        <f>INDEX('TPU MAR-24'!$D$9:$D$999,MATCH(B349,'TPU MAR-24'!$A$9:$A$999,0))</f>
        <v>189.39</v>
      </c>
      <c r="H349" s="83">
        <f>D349*E349*G349</f>
        <v>33332.639999999999</v>
      </c>
    </row>
    <row r="350" spans="1:10" x14ac:dyDescent="0.2">
      <c r="A350" s="88"/>
      <c r="B350" s="84" t="s">
        <v>204</v>
      </c>
      <c r="C350" s="81" t="s">
        <v>205</v>
      </c>
      <c r="D350" s="82">
        <f>IF(AND($K$11&gt;0,$K$11&lt;=70),1,IF(AND($K$11&gt;70,$K$11&lt;=150),1,IF(AND($K$11&gt;150),1)))</f>
        <v>1</v>
      </c>
      <c r="E350" s="82">
        <f>$K$150</f>
        <v>176</v>
      </c>
      <c r="F350" s="82" t="s">
        <v>118</v>
      </c>
      <c r="G350" s="83">
        <f>INDEX('TPU MAR-24'!$D$9:$D$999,MATCH(B350,'TPU MAR-24'!$A$9:$A$999,0))</f>
        <v>24.14</v>
      </c>
      <c r="H350" s="83">
        <f t="shared" ref="H350" si="33">D350*E350*G350</f>
        <v>4248.6400000000003</v>
      </c>
    </row>
    <row r="351" spans="1:10" x14ac:dyDescent="0.2">
      <c r="C351" s="354" t="s">
        <v>179</v>
      </c>
      <c r="D351" s="355"/>
      <c r="E351" s="355"/>
      <c r="F351" s="355"/>
      <c r="G351" s="356"/>
      <c r="H351" s="89">
        <f>SUM(H345:H350)</f>
        <v>42151.5</v>
      </c>
      <c r="J351" s="160"/>
    </row>
    <row r="352" spans="1:10" x14ac:dyDescent="0.2">
      <c r="C352" s="351" t="s">
        <v>158</v>
      </c>
      <c r="D352" s="352"/>
      <c r="E352" s="352"/>
      <c r="F352" s="352"/>
      <c r="G352" s="352"/>
      <c r="H352" s="353"/>
    </row>
    <row r="353" spans="1:8" x14ac:dyDescent="0.2">
      <c r="C353" s="81" t="s">
        <v>236</v>
      </c>
      <c r="D353" s="26">
        <f>$D$349</f>
        <v>1</v>
      </c>
      <c r="E353" s="82">
        <v>30</v>
      </c>
      <c r="F353" s="82" t="s">
        <v>161</v>
      </c>
      <c r="G353" s="83">
        <f>'TPU MAR-24'!$C$52</f>
        <v>318.24</v>
      </c>
      <c r="H353" s="83">
        <f t="shared" ref="H353:H360" si="34">D353*E353*G353</f>
        <v>9547.2000000000007</v>
      </c>
    </row>
    <row r="354" spans="1:8" x14ac:dyDescent="0.2">
      <c r="C354" s="81" t="s">
        <v>225</v>
      </c>
      <c r="D354" s="26">
        <f>$D$350</f>
        <v>1</v>
      </c>
      <c r="E354" s="82">
        <v>30</v>
      </c>
      <c r="F354" s="82" t="s">
        <v>161</v>
      </c>
      <c r="G354" s="83">
        <f>'TPU MAR-24'!$C$53</f>
        <v>159.12</v>
      </c>
      <c r="H354" s="83">
        <f t="shared" si="34"/>
        <v>4773.6000000000004</v>
      </c>
    </row>
    <row r="355" spans="1:8" x14ac:dyDescent="0.2">
      <c r="C355" s="81" t="s">
        <v>398</v>
      </c>
      <c r="D355" s="26">
        <f>$D$349</f>
        <v>1</v>
      </c>
      <c r="E355" s="82">
        <v>1</v>
      </c>
      <c r="F355" s="82" t="s">
        <v>321</v>
      </c>
      <c r="G355" s="93">
        <v>1800</v>
      </c>
      <c r="H355" s="83">
        <f t="shared" si="34"/>
        <v>1800</v>
      </c>
    </row>
    <row r="356" spans="1:8" x14ac:dyDescent="0.2">
      <c r="C356" s="81" t="s">
        <v>167</v>
      </c>
      <c r="D356" s="26">
        <v>1</v>
      </c>
      <c r="E356" s="82">
        <v>1</v>
      </c>
      <c r="F356" s="82" t="s">
        <v>168</v>
      </c>
      <c r="G356" s="93">
        <v>1500</v>
      </c>
      <c r="H356" s="83">
        <f t="shared" si="34"/>
        <v>1500</v>
      </c>
    </row>
    <row r="357" spans="1:8" x14ac:dyDescent="0.2">
      <c r="C357" s="81" t="s">
        <v>237</v>
      </c>
      <c r="D357" s="26">
        <f>$D$349</f>
        <v>1</v>
      </c>
      <c r="E357" s="82">
        <v>1</v>
      </c>
      <c r="F357" s="82" t="s">
        <v>168</v>
      </c>
      <c r="G357" s="83">
        <f>$K$43</f>
        <v>600</v>
      </c>
      <c r="H357" s="83">
        <f t="shared" si="34"/>
        <v>600</v>
      </c>
    </row>
    <row r="358" spans="1:8" x14ac:dyDescent="0.2">
      <c r="C358" s="81" t="s">
        <v>238</v>
      </c>
      <c r="D358" s="82">
        <f>IF(AND($K$11&gt;0,$K$11&lt;=50),(1),IF(AND($K$11&gt;50,$K$11&lt;=100),(2),IF(AND($K$11&gt;100,$K$11&lt;=150),(3),IF(AND($K$11&gt;150,$K$11&lt;=200),(4),IF(AND($K$11&gt;200,$K$11&lt;=250),(5),IF(AND($K$11&gt;250,$K$11&lt;=300),(6),IF(AND($K$11&gt;300,$K$11&lt;=350),(7),IF(AND($K$11&gt;350,$K$11&lt;=400),(8),IF(AND($K$11&gt;400,$K$11&lt;=450),(9),IF(AND($K$11&gt;450,$K$11&lt;=500),(10),IF(AND($K$11&gt;500,$K$11&lt;=600),11)))))))))))</f>
        <v>1</v>
      </c>
      <c r="E358" s="82">
        <v>1</v>
      </c>
      <c r="F358" s="82" t="s">
        <v>168</v>
      </c>
      <c r="G358" s="83">
        <f>$K$36</f>
        <v>4000</v>
      </c>
      <c r="H358" s="83">
        <f t="shared" si="34"/>
        <v>4000</v>
      </c>
    </row>
    <row r="359" spans="1:8" x14ac:dyDescent="0.2">
      <c r="C359" s="81" t="s">
        <v>170</v>
      </c>
      <c r="D359" s="26">
        <f>$D$349</f>
        <v>1</v>
      </c>
      <c r="E359" s="26">
        <v>30</v>
      </c>
      <c r="F359" s="82" t="s">
        <v>161</v>
      </c>
      <c r="G359" s="95">
        <f>'TPU MAR-24'!$D$42</f>
        <v>193.64</v>
      </c>
      <c r="H359" s="83">
        <f t="shared" si="34"/>
        <v>5809.2</v>
      </c>
    </row>
    <row r="360" spans="1:8" x14ac:dyDescent="0.2">
      <c r="C360" s="81" t="s">
        <v>401</v>
      </c>
      <c r="D360" s="26">
        <f>D350</f>
        <v>1</v>
      </c>
      <c r="E360" s="151">
        <f>$K$18</f>
        <v>280</v>
      </c>
      <c r="F360" s="26" t="s">
        <v>173</v>
      </c>
      <c r="G360" s="95">
        <f>'TPU MAR-24'!$D$40</f>
        <v>1.29</v>
      </c>
      <c r="H360" s="83">
        <f t="shared" si="34"/>
        <v>361.2</v>
      </c>
    </row>
    <row r="361" spans="1:8" x14ac:dyDescent="0.2">
      <c r="C361" s="354" t="s">
        <v>179</v>
      </c>
      <c r="D361" s="355"/>
      <c r="E361" s="355"/>
      <c r="F361" s="355"/>
      <c r="G361" s="356"/>
      <c r="H361" s="119">
        <f>SUM(H353:H360)</f>
        <v>28391.200000000004</v>
      </c>
    </row>
    <row r="362" spans="1:8" x14ac:dyDescent="0.2">
      <c r="C362" s="354" t="s">
        <v>458</v>
      </c>
      <c r="D362" s="355"/>
      <c r="E362" s="355"/>
      <c r="F362" s="355"/>
      <c r="G362" s="356"/>
      <c r="H362" s="120">
        <f>H351+H361</f>
        <v>70542.700000000012</v>
      </c>
    </row>
    <row r="363" spans="1:8" x14ac:dyDescent="0.2">
      <c r="C363" s="354" t="s">
        <v>482</v>
      </c>
      <c r="D363" s="355"/>
      <c r="E363" s="356"/>
      <c r="F363" s="102">
        <f>$K$53</f>
        <v>1</v>
      </c>
      <c r="G363" s="102">
        <f>$K$50*$K$6</f>
        <v>2</v>
      </c>
      <c r="H363" s="119">
        <f>H362*F363*G363</f>
        <v>141085.40000000002</v>
      </c>
    </row>
    <row r="364" spans="1:8" x14ac:dyDescent="0.2">
      <c r="C364" s="354" t="s">
        <v>894</v>
      </c>
      <c r="D364" s="355"/>
      <c r="E364" s="355"/>
      <c r="F364" s="355"/>
      <c r="G364" s="356"/>
      <c r="H364" s="119">
        <f>SUM(H363:H363)</f>
        <v>141085.40000000002</v>
      </c>
    </row>
    <row r="365" spans="1:8" x14ac:dyDescent="0.2">
      <c r="C365" s="118"/>
      <c r="D365" s="118"/>
      <c r="E365" s="118"/>
      <c r="F365" s="118"/>
      <c r="G365" s="118"/>
      <c r="H365" s="118"/>
    </row>
    <row r="366" spans="1:8" x14ac:dyDescent="0.2">
      <c r="C366" s="118"/>
      <c r="D366" s="118"/>
      <c r="E366" s="118"/>
      <c r="F366" s="118"/>
      <c r="G366" s="118"/>
      <c r="H366" s="118"/>
    </row>
    <row r="367" spans="1:8" x14ac:dyDescent="0.2">
      <c r="A367" s="48" t="str">
        <f>CAPEX!$A$47</f>
        <v>6.17</v>
      </c>
      <c r="B367" s="77"/>
      <c r="C367" s="349" t="str">
        <f>CAPEX!$B$47</f>
        <v>Programa de Desapropriação</v>
      </c>
      <c r="D367" s="350"/>
      <c r="E367" s="350"/>
      <c r="F367" s="350"/>
      <c r="G367" s="350"/>
      <c r="H367" s="145">
        <f>H382</f>
        <v>2105203.2000000002</v>
      </c>
    </row>
    <row r="368" spans="1:8" ht="24" x14ac:dyDescent="0.2">
      <c r="C368" s="45" t="s">
        <v>109</v>
      </c>
      <c r="D368" s="45" t="s">
        <v>28</v>
      </c>
      <c r="E368" s="45" t="s">
        <v>110</v>
      </c>
      <c r="F368" s="45" t="s">
        <v>111</v>
      </c>
      <c r="G368" s="45" t="s">
        <v>112</v>
      </c>
      <c r="H368" s="78" t="s">
        <v>113</v>
      </c>
    </row>
    <row r="369" spans="1:10" x14ac:dyDescent="0.2">
      <c r="C369" s="351" t="s">
        <v>149</v>
      </c>
      <c r="D369" s="352"/>
      <c r="E369" s="352"/>
      <c r="F369" s="352"/>
      <c r="G369" s="352"/>
      <c r="H369" s="353"/>
    </row>
    <row r="370" spans="1:10" x14ac:dyDescent="0.2">
      <c r="A370" s="112"/>
      <c r="B370" s="80" t="str">
        <f>'TPU MAR-24'!$A$17</f>
        <v>35.03.72</v>
      </c>
      <c r="C370" s="81" t="s">
        <v>241</v>
      </c>
      <c r="D370" s="82">
        <v>1</v>
      </c>
      <c r="E370" s="82">
        <f>$K$150</f>
        <v>176</v>
      </c>
      <c r="F370" s="82" t="s">
        <v>118</v>
      </c>
      <c r="G370" s="83">
        <f>INDEX('TPU MAR-24'!$D$9:$D$999,MATCH(B370,'TPU MAR-24'!$A$9:$A$999,0))</f>
        <v>81.7</v>
      </c>
      <c r="H370" s="83">
        <f>D370*E370*G370</f>
        <v>14379.2</v>
      </c>
    </row>
    <row r="371" spans="1:10" x14ac:dyDescent="0.2">
      <c r="A371" s="88"/>
      <c r="B371" s="84" t="s">
        <v>153</v>
      </c>
      <c r="C371" s="81" t="s">
        <v>154</v>
      </c>
      <c r="D371" s="82">
        <f>IF(AND($K$11&gt;0,$K$11&lt;=70),1,IF(AND($K$11&gt;70,$K$11&lt;=150),1,IF(AND($K$11&gt;150),1)))</f>
        <v>1</v>
      </c>
      <c r="E371" s="82">
        <f>$K$150</f>
        <v>176</v>
      </c>
      <c r="F371" s="82" t="s">
        <v>118</v>
      </c>
      <c r="G371" s="83">
        <f>INDEX('TPU MAR-24'!$D$9:$D$999,MATCH(B371,'TPU MAR-24'!$A$9:$A$999,0))</f>
        <v>25.5</v>
      </c>
      <c r="H371" s="83">
        <f>D371*E371*G371</f>
        <v>4488</v>
      </c>
    </row>
    <row r="372" spans="1:10" x14ac:dyDescent="0.2">
      <c r="C372" s="354" t="s">
        <v>179</v>
      </c>
      <c r="D372" s="355"/>
      <c r="E372" s="355"/>
      <c r="F372" s="355"/>
      <c r="G372" s="356"/>
      <c r="H372" s="89">
        <f>SUM(H369:H371)</f>
        <v>18867.2</v>
      </c>
    </row>
    <row r="373" spans="1:10" x14ac:dyDescent="0.2">
      <c r="C373" s="351" t="s">
        <v>158</v>
      </c>
      <c r="D373" s="352"/>
      <c r="E373" s="352"/>
      <c r="F373" s="352"/>
      <c r="G373" s="352"/>
      <c r="H373" s="353"/>
    </row>
    <row r="374" spans="1:10" x14ac:dyDescent="0.2">
      <c r="C374" s="81" t="s">
        <v>297</v>
      </c>
      <c r="D374" s="26">
        <v>1</v>
      </c>
      <c r="E374" s="82">
        <v>1</v>
      </c>
      <c r="F374" s="82" t="s">
        <v>168</v>
      </c>
      <c r="G374" s="83">
        <v>3000</v>
      </c>
      <c r="H374" s="83">
        <f t="shared" ref="H374:H379" si="35">D374*E374*G374</f>
        <v>3000</v>
      </c>
    </row>
    <row r="375" spans="1:10" x14ac:dyDescent="0.2">
      <c r="C375" s="81" t="s">
        <v>243</v>
      </c>
      <c r="D375" s="26">
        <f>D370</f>
        <v>1</v>
      </c>
      <c r="E375" s="82">
        <v>30</v>
      </c>
      <c r="F375" s="82" t="s">
        <v>161</v>
      </c>
      <c r="G375" s="83">
        <f>'TPU MAR-24'!$C$52</f>
        <v>318.24</v>
      </c>
      <c r="H375" s="83">
        <f t="shared" si="35"/>
        <v>9547.2000000000007</v>
      </c>
    </row>
    <row r="376" spans="1:10" x14ac:dyDescent="0.2">
      <c r="C376" s="81" t="s">
        <v>165</v>
      </c>
      <c r="D376" s="26">
        <f>D371</f>
        <v>1</v>
      </c>
      <c r="E376" s="82">
        <v>30</v>
      </c>
      <c r="F376" s="82" t="s">
        <v>161</v>
      </c>
      <c r="G376" s="83">
        <f>'TPU MAR-24'!$C$53</f>
        <v>159.12</v>
      </c>
      <c r="H376" s="83">
        <f t="shared" si="35"/>
        <v>4773.6000000000004</v>
      </c>
      <c r="J376" s="160"/>
    </row>
    <row r="377" spans="1:10" x14ac:dyDescent="0.2">
      <c r="C377" s="81" t="s">
        <v>167</v>
      </c>
      <c r="D377" s="26">
        <v>1</v>
      </c>
      <c r="E377" s="82">
        <v>1</v>
      </c>
      <c r="F377" s="82" t="s">
        <v>168</v>
      </c>
      <c r="G377" s="93">
        <v>1500</v>
      </c>
      <c r="H377" s="83">
        <f t="shared" si="35"/>
        <v>1500</v>
      </c>
    </row>
    <row r="378" spans="1:10" x14ac:dyDescent="0.2">
      <c r="C378" s="81" t="s">
        <v>170</v>
      </c>
      <c r="D378" s="26">
        <f>D371</f>
        <v>1</v>
      </c>
      <c r="E378" s="26">
        <v>30</v>
      </c>
      <c r="F378" s="26" t="s">
        <v>161</v>
      </c>
      <c r="G378" s="95">
        <f>'TPU MAR-24'!$D$42</f>
        <v>193.64</v>
      </c>
      <c r="H378" s="83">
        <f t="shared" si="35"/>
        <v>5809.2</v>
      </c>
    </row>
    <row r="379" spans="1:10" x14ac:dyDescent="0.2">
      <c r="C379" s="81" t="s">
        <v>401</v>
      </c>
      <c r="D379" s="26">
        <f>D371</f>
        <v>1</v>
      </c>
      <c r="E379" s="151">
        <f>$K$18</f>
        <v>280</v>
      </c>
      <c r="F379" s="26" t="s">
        <v>173</v>
      </c>
      <c r="G379" s="95">
        <f>'TPU MAR-24'!$D$40</f>
        <v>1.29</v>
      </c>
      <c r="H379" s="83">
        <f t="shared" si="35"/>
        <v>361.2</v>
      </c>
    </row>
    <row r="380" spans="1:10" x14ac:dyDescent="0.2">
      <c r="C380" s="354" t="s">
        <v>179</v>
      </c>
      <c r="D380" s="355"/>
      <c r="E380" s="355"/>
      <c r="F380" s="355"/>
      <c r="G380" s="356"/>
      <c r="H380" s="97">
        <f>SUM(H374:H379)</f>
        <v>24991.200000000004</v>
      </c>
    </row>
    <row r="381" spans="1:10" x14ac:dyDescent="0.2">
      <c r="C381" s="354" t="s">
        <v>480</v>
      </c>
      <c r="D381" s="355"/>
      <c r="E381" s="355"/>
      <c r="F381" s="355"/>
      <c r="G381" s="356"/>
      <c r="H381" s="89">
        <f>H372+H380</f>
        <v>43858.400000000009</v>
      </c>
    </row>
    <row r="382" spans="1:10" x14ac:dyDescent="0.2">
      <c r="C382" s="357" t="s">
        <v>267</v>
      </c>
      <c r="D382" s="357"/>
      <c r="E382" s="357"/>
      <c r="F382" s="357"/>
      <c r="G382" s="102">
        <f>$K$129</f>
        <v>48</v>
      </c>
      <c r="H382" s="89">
        <f>H381*G382</f>
        <v>2105203.2000000002</v>
      </c>
    </row>
    <row r="385" spans="1:8" x14ac:dyDescent="0.2">
      <c r="A385" s="48" t="str">
        <f>CAPEX!$A$48</f>
        <v>6.18</v>
      </c>
      <c r="B385" s="77"/>
      <c r="C385" s="349" t="str">
        <f>CAPEX!$B$48</f>
        <v>Programa de Educação Patrimonial</v>
      </c>
      <c r="D385" s="350"/>
      <c r="E385" s="350"/>
      <c r="F385" s="350"/>
      <c r="G385" s="350"/>
      <c r="H385" s="145">
        <f>H407</f>
        <v>213568.08000000002</v>
      </c>
    </row>
    <row r="386" spans="1:8" ht="24" x14ac:dyDescent="0.2">
      <c r="C386" s="45" t="s">
        <v>109</v>
      </c>
      <c r="D386" s="45" t="s">
        <v>28</v>
      </c>
      <c r="E386" s="45" t="s">
        <v>110</v>
      </c>
      <c r="F386" s="45" t="s">
        <v>111</v>
      </c>
      <c r="G386" s="45" t="s">
        <v>112</v>
      </c>
      <c r="H386" s="78" t="s">
        <v>113</v>
      </c>
    </row>
    <row r="387" spans="1:8" x14ac:dyDescent="0.2">
      <c r="C387" s="351" t="s">
        <v>115</v>
      </c>
      <c r="D387" s="352"/>
      <c r="E387" s="352"/>
      <c r="F387" s="352"/>
      <c r="G387" s="352"/>
      <c r="H387" s="353"/>
    </row>
    <row r="388" spans="1:8" x14ac:dyDescent="0.2">
      <c r="A388" s="112"/>
      <c r="B388" s="84" t="s">
        <v>261</v>
      </c>
      <c r="C388" s="81" t="s">
        <v>483</v>
      </c>
      <c r="D388" s="82">
        <f>IF(AND($K$8&gt;0,$K$8&lt;=70),1,IF(AND($K$8&gt;70,$K$8&lt;=150),1,IF(AND($K$8&gt;150),1)))</f>
        <v>1</v>
      </c>
      <c r="E388" s="82">
        <f>($K$70*$K$145)/2</f>
        <v>8</v>
      </c>
      <c r="F388" s="82" t="s">
        <v>118</v>
      </c>
      <c r="G388" s="83">
        <f>INDEX('TPU MAR-24'!$D$9:$D$999,MATCH(B388,'TPU MAR-24'!$A$9:$A$999,0))</f>
        <v>109.09</v>
      </c>
      <c r="H388" s="83">
        <f t="shared" ref="H388:H391" si="36">D388*E388*G388</f>
        <v>872.72</v>
      </c>
    </row>
    <row r="389" spans="1:8" x14ac:dyDescent="0.2">
      <c r="A389" s="112"/>
      <c r="B389" s="84" t="s">
        <v>261</v>
      </c>
      <c r="C389" s="81" t="s">
        <v>262</v>
      </c>
      <c r="D389" s="82">
        <f>IF(AND($K$8&gt;0,$K$8&lt;=70),1,IF(AND($K$8&gt;70,$K$8&lt;=150),1,IF(AND($K$8&gt;150),1)))</f>
        <v>1</v>
      </c>
      <c r="E389" s="82">
        <f>($K$70*$K$145)</f>
        <v>16</v>
      </c>
      <c r="F389" s="82" t="s">
        <v>118</v>
      </c>
      <c r="G389" s="83">
        <f>INDEX('TPU MAR-24'!$D$9:$D$999,MATCH(B389,'TPU MAR-24'!$A$9:$A$999,0))</f>
        <v>109.09</v>
      </c>
      <c r="H389" s="83">
        <f t="shared" si="36"/>
        <v>1745.44</v>
      </c>
    </row>
    <row r="390" spans="1:8" x14ac:dyDescent="0.2">
      <c r="A390" s="112"/>
      <c r="B390" s="84" t="str">
        <f>'TPU MAR-24'!$A$17</f>
        <v>35.03.72</v>
      </c>
      <c r="C390" s="81" t="s">
        <v>247</v>
      </c>
      <c r="D390" s="82">
        <f>IF(AND($K$8&gt;0,$K$8&lt;=70),1,IF(AND($K$8&gt;70,$K$8&lt;=150),1,IF(AND($K$8&gt;150),1)))</f>
        <v>1</v>
      </c>
      <c r="E390" s="82">
        <f>($K$70*$K$145)</f>
        <v>16</v>
      </c>
      <c r="F390" s="82" t="s">
        <v>118</v>
      </c>
      <c r="G390" s="83">
        <f>INDEX('TPU MAR-24'!$D$9:$D$999,MATCH(B390,'TPU MAR-24'!$A$9:$A$999,0))</f>
        <v>81.7</v>
      </c>
      <c r="H390" s="83">
        <f t="shared" si="36"/>
        <v>1307.2</v>
      </c>
    </row>
    <row r="391" spans="1:8" x14ac:dyDescent="0.2">
      <c r="A391" s="88"/>
      <c r="B391" s="84" t="s">
        <v>146</v>
      </c>
      <c r="C391" s="81" t="s">
        <v>147</v>
      </c>
      <c r="D391" s="82">
        <f>IF(AND($K$8&gt;0,$K$8&lt;=70),1,IF(AND($K$8&gt;70,$K$8&lt;=150),1,IF(AND($K$8&gt;150),1)))</f>
        <v>1</v>
      </c>
      <c r="E391" s="82">
        <f>($K$70*$K$145)/2</f>
        <v>8</v>
      </c>
      <c r="F391" s="82" t="s">
        <v>118</v>
      </c>
      <c r="G391" s="83">
        <f>INDEX('TPU MAR-24'!$D$9:$D$999,MATCH(B391,'TPU MAR-24'!$A$9:$A$999,0))</f>
        <v>46.06</v>
      </c>
      <c r="H391" s="83">
        <f t="shared" si="36"/>
        <v>368.48</v>
      </c>
    </row>
    <row r="392" spans="1:8" x14ac:dyDescent="0.2">
      <c r="C392" s="351" t="s">
        <v>149</v>
      </c>
      <c r="D392" s="352"/>
      <c r="E392" s="352"/>
      <c r="F392" s="352"/>
      <c r="G392" s="352"/>
      <c r="H392" s="353"/>
    </row>
    <row r="393" spans="1:8" x14ac:dyDescent="0.2">
      <c r="A393" s="112"/>
      <c r="B393" s="84" t="s">
        <v>261</v>
      </c>
      <c r="C393" s="81" t="s">
        <v>262</v>
      </c>
      <c r="D393" s="82">
        <f>IF(AND($K$8&gt;0,$K$8&lt;=70),1,IF(AND($K$8&gt;70,$K$8&lt;=150),1,IF(AND($K$8&gt;150),1)))</f>
        <v>1</v>
      </c>
      <c r="E393" s="82">
        <f>($K$70*$K$73*$K$146)+($K$149*$K$146)</f>
        <v>30</v>
      </c>
      <c r="F393" s="82" t="s">
        <v>118</v>
      </c>
      <c r="G393" s="83">
        <f>INDEX('TPU MAR-24'!$D$9:$D$999,MATCH(B393,'TPU MAR-24'!$A$9:$A$999,0))</f>
        <v>109.09</v>
      </c>
      <c r="H393" s="83">
        <f>D393*E393*G393</f>
        <v>3272.7000000000003</v>
      </c>
    </row>
    <row r="394" spans="1:8" x14ac:dyDescent="0.2">
      <c r="A394" s="112"/>
      <c r="B394" s="84" t="str">
        <f>'TPU MAR-24'!$A$17</f>
        <v>35.03.72</v>
      </c>
      <c r="C394" s="81" t="s">
        <v>247</v>
      </c>
      <c r="D394" s="82">
        <f>IF(AND($K$8&gt;0,$K$8&lt;=70),1,IF(AND($K$8&gt;70,$K$8&lt;=150),1,IF(AND($K$8&gt;150),1)))</f>
        <v>1</v>
      </c>
      <c r="E394" s="82">
        <f>($K$70*$K$73*$K$146)+($K$149*$K$146)</f>
        <v>30</v>
      </c>
      <c r="F394" s="82" t="s">
        <v>118</v>
      </c>
      <c r="G394" s="83">
        <f>INDEX('TPU MAR-24'!$D$9:$D$999,MATCH(B394,'TPU MAR-24'!$A$9:$A$999,0))</f>
        <v>81.7</v>
      </c>
      <c r="H394" s="83">
        <f t="shared" ref="H394:H395" si="37">D394*E394*G394</f>
        <v>2451</v>
      </c>
    </row>
    <row r="395" spans="1:8" x14ac:dyDescent="0.2">
      <c r="A395" s="88"/>
      <c r="B395" s="84" t="s">
        <v>153</v>
      </c>
      <c r="C395" s="81" t="s">
        <v>154</v>
      </c>
      <c r="D395" s="82">
        <f>IF(AND($K$8&gt;0,$K$8&lt;=70),1,IF(AND($K$8&gt;70,$K$8&lt;=150),1,IF(AND($K$8&gt;150),1)))</f>
        <v>1</v>
      </c>
      <c r="E395" s="82">
        <f>($K$70*$K$73*$K$146)</f>
        <v>20</v>
      </c>
      <c r="F395" s="82" t="s">
        <v>118</v>
      </c>
      <c r="G395" s="83">
        <f>INDEX('TPU MAR-24'!$D$9:$D$999,MATCH(B395,'TPU MAR-24'!$A$9:$A$999,0))</f>
        <v>25.5</v>
      </c>
      <c r="H395" s="83">
        <f t="shared" si="37"/>
        <v>510</v>
      </c>
    </row>
    <row r="396" spans="1:8" x14ac:dyDescent="0.2">
      <c r="C396" s="354" t="s">
        <v>179</v>
      </c>
      <c r="D396" s="355"/>
      <c r="E396" s="355"/>
      <c r="F396" s="355"/>
      <c r="G396" s="356"/>
      <c r="H396" s="89">
        <f>SUM(H388:H395)</f>
        <v>10527.54</v>
      </c>
    </row>
    <row r="397" spans="1:8" x14ac:dyDescent="0.2">
      <c r="C397" s="351" t="s">
        <v>158</v>
      </c>
      <c r="D397" s="352"/>
      <c r="E397" s="352"/>
      <c r="F397" s="352"/>
      <c r="G397" s="352"/>
      <c r="H397" s="353"/>
    </row>
    <row r="398" spans="1:8" x14ac:dyDescent="0.2">
      <c r="C398" s="81" t="s">
        <v>484</v>
      </c>
      <c r="D398" s="26">
        <f>D393</f>
        <v>1</v>
      </c>
      <c r="E398" s="82">
        <f>($K$70*$K$73)+($K$149)</f>
        <v>3</v>
      </c>
      <c r="F398" s="82" t="s">
        <v>161</v>
      </c>
      <c r="G398" s="83">
        <f>'TPU MAR-24'!$C$52</f>
        <v>318.24</v>
      </c>
      <c r="H398" s="83">
        <f t="shared" ref="H398:H404" si="38">D398*E398*G398</f>
        <v>954.72</v>
      </c>
    </row>
    <row r="399" spans="1:8" x14ac:dyDescent="0.2">
      <c r="C399" s="81" t="s">
        <v>247</v>
      </c>
      <c r="D399" s="26">
        <f>D394</f>
        <v>1</v>
      </c>
      <c r="E399" s="82">
        <f>($K$70*$K$73)+($K$149)</f>
        <v>3</v>
      </c>
      <c r="F399" s="82" t="s">
        <v>161</v>
      </c>
      <c r="G399" s="83">
        <f>'TPU MAR-24'!$C$52</f>
        <v>318.24</v>
      </c>
      <c r="H399" s="83">
        <f t="shared" si="38"/>
        <v>954.72</v>
      </c>
    </row>
    <row r="400" spans="1:8" x14ac:dyDescent="0.2">
      <c r="C400" s="81" t="s">
        <v>165</v>
      </c>
      <c r="D400" s="26">
        <f>D395</f>
        <v>1</v>
      </c>
      <c r="E400" s="82">
        <f>($K$70*$K$73)</f>
        <v>2</v>
      </c>
      <c r="F400" s="82" t="s">
        <v>161</v>
      </c>
      <c r="G400" s="83">
        <f>'TPU MAR-24'!$C$53</f>
        <v>159.12</v>
      </c>
      <c r="H400" s="83">
        <f t="shared" si="38"/>
        <v>318.24</v>
      </c>
    </row>
    <row r="401" spans="3:8" x14ac:dyDescent="0.2">
      <c r="C401" s="81" t="s">
        <v>485</v>
      </c>
      <c r="D401" s="26">
        <f>$K$70</f>
        <v>2</v>
      </c>
      <c r="E401" s="82">
        <v>1</v>
      </c>
      <c r="F401" s="82" t="s">
        <v>168</v>
      </c>
      <c r="G401" s="83">
        <f>$K$66</f>
        <v>1300</v>
      </c>
      <c r="H401" s="83">
        <f t="shared" si="38"/>
        <v>2600</v>
      </c>
    </row>
    <row r="402" spans="3:8" x14ac:dyDescent="0.2">
      <c r="C402" s="81" t="s">
        <v>167</v>
      </c>
      <c r="D402" s="26">
        <v>1</v>
      </c>
      <c r="E402" s="82">
        <v>1</v>
      </c>
      <c r="F402" s="82" t="s">
        <v>168</v>
      </c>
      <c r="G402" s="93">
        <v>1500</v>
      </c>
      <c r="H402" s="83">
        <f t="shared" si="38"/>
        <v>1500</v>
      </c>
    </row>
    <row r="403" spans="3:8" x14ac:dyDescent="0.2">
      <c r="C403" s="81" t="s">
        <v>170</v>
      </c>
      <c r="D403" s="26">
        <f>D393</f>
        <v>1</v>
      </c>
      <c r="E403" s="82">
        <f>($K$70*$K$73)+($K$149)</f>
        <v>3</v>
      </c>
      <c r="F403" s="26" t="s">
        <v>161</v>
      </c>
      <c r="G403" s="95">
        <f>'TPU MAR-24'!$D$42</f>
        <v>193.64</v>
      </c>
      <c r="H403" s="83">
        <f t="shared" si="38"/>
        <v>580.91999999999996</v>
      </c>
    </row>
    <row r="404" spans="3:8" x14ac:dyDescent="0.2">
      <c r="C404" s="81" t="s">
        <v>401</v>
      </c>
      <c r="D404" s="26">
        <f>D395</f>
        <v>1</v>
      </c>
      <c r="E404" s="151">
        <f>$K$18</f>
        <v>280</v>
      </c>
      <c r="F404" s="26" t="s">
        <v>173</v>
      </c>
      <c r="G404" s="95">
        <f>'TPU MAR-24'!$D$40</f>
        <v>1.29</v>
      </c>
      <c r="H404" s="83">
        <f t="shared" si="38"/>
        <v>361.2</v>
      </c>
    </row>
    <row r="405" spans="3:8" x14ac:dyDescent="0.2">
      <c r="C405" s="354" t="s">
        <v>179</v>
      </c>
      <c r="D405" s="355"/>
      <c r="E405" s="355"/>
      <c r="F405" s="355"/>
      <c r="G405" s="356"/>
      <c r="H405" s="97">
        <f>SUM(H398:H404)</f>
        <v>7269.8</v>
      </c>
    </row>
    <row r="406" spans="3:8" x14ac:dyDescent="0.2">
      <c r="C406" s="354" t="s">
        <v>219</v>
      </c>
      <c r="D406" s="355"/>
      <c r="E406" s="355"/>
      <c r="F406" s="355"/>
      <c r="G406" s="356"/>
      <c r="H406" s="89">
        <f>H396+H405</f>
        <v>17797.34</v>
      </c>
    </row>
    <row r="407" spans="3:8" x14ac:dyDescent="0.2">
      <c r="C407" s="357" t="s">
        <v>267</v>
      </c>
      <c r="D407" s="357"/>
      <c r="E407" s="357"/>
      <c r="F407" s="357"/>
      <c r="G407" s="102">
        <f>$K$129/$K$126</f>
        <v>12</v>
      </c>
      <c r="H407" s="89">
        <f>H406*G407</f>
        <v>213568.08000000002</v>
      </c>
    </row>
    <row r="408" spans="3:8" x14ac:dyDescent="0.2">
      <c r="C408" s="116"/>
      <c r="D408" s="116"/>
      <c r="E408" s="116"/>
      <c r="F408" s="116"/>
      <c r="G408" s="116"/>
      <c r="H408" s="117"/>
    </row>
  </sheetData>
  <mergeCells count="151">
    <mergeCell ref="C154:H154"/>
    <mergeCell ref="C157:G157"/>
    <mergeCell ref="C158:H158"/>
    <mergeCell ref="C165:G165"/>
    <mergeCell ref="C166:G166"/>
    <mergeCell ref="C167:F167"/>
    <mergeCell ref="C168:F168"/>
    <mergeCell ref="C129:G129"/>
    <mergeCell ref="C131:H131"/>
    <mergeCell ref="C136:H136"/>
    <mergeCell ref="C139:G139"/>
    <mergeCell ref="C140:H140"/>
    <mergeCell ref="C147:G147"/>
    <mergeCell ref="C148:G148"/>
    <mergeCell ref="C149:H149"/>
    <mergeCell ref="C23:H23"/>
    <mergeCell ref="C25:G25"/>
    <mergeCell ref="C26:H26"/>
    <mergeCell ref="C33:G33"/>
    <mergeCell ref="C34:G34"/>
    <mergeCell ref="C35:F35"/>
    <mergeCell ref="A1:B1"/>
    <mergeCell ref="C1:H1"/>
    <mergeCell ref="C18:G18"/>
    <mergeCell ref="C20:H20"/>
    <mergeCell ref="C3:G3"/>
    <mergeCell ref="C5:H5"/>
    <mergeCell ref="C10:G10"/>
    <mergeCell ref="C11:H11"/>
    <mergeCell ref="C13:G13"/>
    <mergeCell ref="C15:F15"/>
    <mergeCell ref="C14:G14"/>
    <mergeCell ref="C244:G244"/>
    <mergeCell ref="C246:H246"/>
    <mergeCell ref="C250:H250"/>
    <mergeCell ref="C253:G253"/>
    <mergeCell ref="C61:G61"/>
    <mergeCell ref="C63:H63"/>
    <mergeCell ref="C68:H68"/>
    <mergeCell ref="C71:G71"/>
    <mergeCell ref="C72:H72"/>
    <mergeCell ref="C79:G79"/>
    <mergeCell ref="C113:H113"/>
    <mergeCell ref="C116:G116"/>
    <mergeCell ref="C117:H117"/>
    <mergeCell ref="C124:G124"/>
    <mergeCell ref="C125:G125"/>
    <mergeCell ref="C126:F126"/>
    <mergeCell ref="C106:G106"/>
    <mergeCell ref="C108:H108"/>
    <mergeCell ref="C102:G102"/>
    <mergeCell ref="C103:F103"/>
    <mergeCell ref="C84:G84"/>
    <mergeCell ref="C86:H86"/>
    <mergeCell ref="C91:H91"/>
    <mergeCell ref="C94:G94"/>
    <mergeCell ref="C267:G267"/>
    <mergeCell ref="C269:H269"/>
    <mergeCell ref="C321:G321"/>
    <mergeCell ref="C323:H323"/>
    <mergeCell ref="C327:H327"/>
    <mergeCell ref="C330:G330"/>
    <mergeCell ref="C331:H331"/>
    <mergeCell ref="C340:G340"/>
    <mergeCell ref="C254:H254"/>
    <mergeCell ref="C261:G261"/>
    <mergeCell ref="C262:G262"/>
    <mergeCell ref="C263:E263"/>
    <mergeCell ref="C264:G264"/>
    <mergeCell ref="C274:H274"/>
    <mergeCell ref="C277:G277"/>
    <mergeCell ref="C278:H278"/>
    <mergeCell ref="C284:G284"/>
    <mergeCell ref="C285:G285"/>
    <mergeCell ref="C286:F286"/>
    <mergeCell ref="C341:G341"/>
    <mergeCell ref="C342:E342"/>
    <mergeCell ref="C343:G343"/>
    <mergeCell ref="C38:G38"/>
    <mergeCell ref="C40:H40"/>
    <mergeCell ref="C45:H45"/>
    <mergeCell ref="C48:G48"/>
    <mergeCell ref="C49:H49"/>
    <mergeCell ref="C230:G230"/>
    <mergeCell ref="C231:G231"/>
    <mergeCell ref="C232:F232"/>
    <mergeCell ref="C233:H233"/>
    <mergeCell ref="C209:G209"/>
    <mergeCell ref="C211:H211"/>
    <mergeCell ref="C217:H217"/>
    <mergeCell ref="C221:G221"/>
    <mergeCell ref="C222:H222"/>
    <mergeCell ref="C80:G80"/>
    <mergeCell ref="C81:F81"/>
    <mergeCell ref="C95:H95"/>
    <mergeCell ref="C101:G101"/>
    <mergeCell ref="C56:G56"/>
    <mergeCell ref="C57:G57"/>
    <mergeCell ref="C58:F58"/>
    <mergeCell ref="C171:G171"/>
    <mergeCell ref="C173:H173"/>
    <mergeCell ref="C175:G175"/>
    <mergeCell ref="C367:G367"/>
    <mergeCell ref="C369:H369"/>
    <mergeCell ref="C372:G372"/>
    <mergeCell ref="C235:G235"/>
    <mergeCell ref="C236:H236"/>
    <mergeCell ref="C318:F318"/>
    <mergeCell ref="C291:H291"/>
    <mergeCell ref="C297:H297"/>
    <mergeCell ref="C302:G302"/>
    <mergeCell ref="C303:H303"/>
    <mergeCell ref="C316:G316"/>
    <mergeCell ref="C317:G317"/>
    <mergeCell ref="C361:G361"/>
    <mergeCell ref="C362:G362"/>
    <mergeCell ref="C363:E363"/>
    <mergeCell ref="C364:G364"/>
    <mergeCell ref="C289:G289"/>
    <mergeCell ref="C344:H344"/>
    <mergeCell ref="C348:H348"/>
    <mergeCell ref="C351:G351"/>
    <mergeCell ref="C352:H352"/>
    <mergeCell ref="C407:F407"/>
    <mergeCell ref="C397:H397"/>
    <mergeCell ref="C405:G405"/>
    <mergeCell ref="C406:G406"/>
    <mergeCell ref="C385:G385"/>
    <mergeCell ref="C387:H387"/>
    <mergeCell ref="C392:H392"/>
    <mergeCell ref="C396:G396"/>
    <mergeCell ref="C373:H373"/>
    <mergeCell ref="C380:G380"/>
    <mergeCell ref="C381:G381"/>
    <mergeCell ref="C382:F382"/>
    <mergeCell ref="C176:H176"/>
    <mergeCell ref="C180:G180"/>
    <mergeCell ref="C181:G181"/>
    <mergeCell ref="C182:F182"/>
    <mergeCell ref="C185:G185"/>
    <mergeCell ref="C187:H187"/>
    <mergeCell ref="C241:G241"/>
    <mergeCell ref="C240:F240"/>
    <mergeCell ref="C239:G239"/>
    <mergeCell ref="C238:G238"/>
    <mergeCell ref="C192:H192"/>
    <mergeCell ref="C195:G195"/>
    <mergeCell ref="C196:H196"/>
    <mergeCell ref="C204:G204"/>
    <mergeCell ref="C205:G205"/>
    <mergeCell ref="C206:F206"/>
  </mergeCells>
  <dataValidations disablePrompts="1" count="1">
    <dataValidation type="list" allowBlank="1" showInputMessage="1" showErrorMessage="1" sqref="K115:K116" xr:uid="{DC040346-91C0-400C-8296-BB8195A999DC}">
      <formula1>"Baixo,Médio,Alto,Muito Alto"</formula1>
    </dataValidation>
  </dataValidations>
  <pageMargins left="0.511811024" right="0.511811024" top="0.78740157499999996" bottom="0.78740157499999996" header="0.31496062000000002" footer="0.31496062000000002"/>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73018-1111-42C3-BF9C-A8E30826E7E4}">
  <dimension ref="A1:L241"/>
  <sheetViews>
    <sheetView topLeftCell="A208" workbookViewId="0">
      <selection activeCell="C188" sqref="C188:G188"/>
    </sheetView>
  </sheetViews>
  <sheetFormatPr defaultColWidth="25.7109375" defaultRowHeight="12" x14ac:dyDescent="0.25"/>
  <cols>
    <col min="1" max="1" width="3.42578125" style="163" bestFit="1" customWidth="1"/>
    <col min="2" max="2" width="8.28515625" style="183" customWidth="1"/>
    <col min="3" max="3" width="78.42578125" style="163" customWidth="1"/>
    <col min="4" max="4" width="5.85546875" style="163" bestFit="1" customWidth="1"/>
    <col min="5" max="5" width="11" style="163" customWidth="1"/>
    <col min="6" max="6" width="14.7109375" style="163" customWidth="1"/>
    <col min="7" max="7" width="20.5703125" style="163" bestFit="1" customWidth="1"/>
    <col min="8" max="8" width="16" style="163" bestFit="1" customWidth="1"/>
    <col min="9" max="9" width="14.5703125" style="163" customWidth="1"/>
    <col min="10" max="10" width="48.42578125" style="163" bestFit="1" customWidth="1"/>
    <col min="11" max="11" width="10.28515625" style="163" bestFit="1" customWidth="1"/>
    <col min="12" max="16384" width="25.7109375" style="163"/>
  </cols>
  <sheetData>
    <row r="1" spans="1:11" x14ac:dyDescent="0.25">
      <c r="A1" s="389" t="str">
        <f>CAPEX!$A$50</f>
        <v>7.</v>
      </c>
      <c r="B1" s="390"/>
      <c r="C1" s="414" t="str">
        <f>CAPEX!$B$50</f>
        <v>ATENDIMENTO AOS PADRÕES AMBIENTAIS, SOCIAIS E DE GOVERNANÇA DO ANEXO 06 DO CONTRATO DE CONCESSÃO</v>
      </c>
      <c r="D1" s="414"/>
      <c r="E1" s="414"/>
      <c r="F1" s="414"/>
      <c r="G1" s="414"/>
      <c r="H1" s="414"/>
    </row>
    <row r="2" spans="1:11" x14ac:dyDescent="0.25">
      <c r="A2" s="164"/>
      <c r="B2" s="165"/>
      <c r="C2" s="164"/>
      <c r="D2" s="164"/>
      <c r="E2" s="164"/>
      <c r="F2" s="164"/>
      <c r="G2" s="164"/>
      <c r="H2" s="164"/>
    </row>
    <row r="3" spans="1:11" x14ac:dyDescent="0.25">
      <c r="A3" s="166" t="str">
        <f>CAPEX!$A$51</f>
        <v>7.1</v>
      </c>
      <c r="B3" s="167"/>
      <c r="C3" s="399" t="str">
        <f>CAPEX!$B$51</f>
        <v>Implantação de Sistema de Gestão Ambiental e de Saúde e Segurança do Trabalho, com base na ISO 14.001/2015 e na ISO 45.001/2015</v>
      </c>
      <c r="D3" s="400"/>
      <c r="E3" s="400"/>
      <c r="F3" s="400"/>
      <c r="G3" s="400"/>
      <c r="H3" s="168">
        <f>$H$70</f>
        <v>3434735.96</v>
      </c>
      <c r="J3" s="169" t="s">
        <v>104</v>
      </c>
      <c r="K3" s="169" t="s">
        <v>105</v>
      </c>
    </row>
    <row r="4" spans="1:11" x14ac:dyDescent="0.25">
      <c r="A4" s="170"/>
      <c r="B4" s="171"/>
      <c r="C4" s="172" t="s">
        <v>109</v>
      </c>
      <c r="D4" s="172" t="s">
        <v>28</v>
      </c>
      <c r="E4" s="172" t="s">
        <v>110</v>
      </c>
      <c r="F4" s="172" t="s">
        <v>111</v>
      </c>
      <c r="G4" s="173" t="s">
        <v>112</v>
      </c>
      <c r="H4" s="174" t="s">
        <v>113</v>
      </c>
      <c r="J4" s="175" t="s">
        <v>252</v>
      </c>
      <c r="K4" s="140">
        <v>11.25</v>
      </c>
    </row>
    <row r="5" spans="1:11" x14ac:dyDescent="0.2">
      <c r="A5" s="170"/>
      <c r="B5" s="171"/>
      <c r="C5" s="395" t="s">
        <v>486</v>
      </c>
      <c r="D5" s="395"/>
      <c r="E5" s="395"/>
      <c r="F5" s="395"/>
      <c r="G5" s="395"/>
      <c r="H5" s="395"/>
      <c r="J5" s="42" t="s">
        <v>107</v>
      </c>
      <c r="K5" s="42">
        <f>2*140</f>
        <v>280</v>
      </c>
    </row>
    <row r="6" spans="1:11" x14ac:dyDescent="0.2">
      <c r="A6" s="176"/>
      <c r="B6" s="80" t="s">
        <v>116</v>
      </c>
      <c r="C6" s="177" t="s">
        <v>117</v>
      </c>
      <c r="D6" s="178">
        <v>1</v>
      </c>
      <c r="E6" s="179">
        <f>(($K$9/5)*($K$7/8)*$K$10*$K$17)</f>
        <v>32</v>
      </c>
      <c r="F6" s="179" t="s">
        <v>118</v>
      </c>
      <c r="G6" s="83">
        <f>INDEX('TPU MAR-24'!$D$9:$D$999,MATCH(B6,'TPU MAR-24'!$A$9:$A$999,0))</f>
        <v>391.54</v>
      </c>
      <c r="H6" s="180">
        <f>D6*E6*G6</f>
        <v>12529.28</v>
      </c>
    </row>
    <row r="7" spans="1:11" x14ac:dyDescent="0.2">
      <c r="A7" s="181"/>
      <c r="B7" s="80" t="s">
        <v>123</v>
      </c>
      <c r="C7" s="177" t="s">
        <v>487</v>
      </c>
      <c r="D7" s="178">
        <v>1</v>
      </c>
      <c r="E7" s="179">
        <f>(($K$9/5)*($K$7/2)*$K$10*$K$17)</f>
        <v>128</v>
      </c>
      <c r="F7" s="179" t="s">
        <v>118</v>
      </c>
      <c r="G7" s="83">
        <f>INDEX('TPU MAR-24'!$D$9:$D$999,MATCH(B7,'TPU MAR-24'!$A$9:$A$999,0))</f>
        <v>268.08</v>
      </c>
      <c r="H7" s="180">
        <f t="shared" ref="H7:H8" si="0">D7*E7*G7</f>
        <v>34314.239999999998</v>
      </c>
      <c r="J7" s="175" t="s">
        <v>122</v>
      </c>
      <c r="K7" s="175">
        <v>8</v>
      </c>
    </row>
    <row r="8" spans="1:11" x14ac:dyDescent="0.2">
      <c r="A8" s="176"/>
      <c r="B8" s="84" t="s">
        <v>146</v>
      </c>
      <c r="C8" s="177" t="s">
        <v>147</v>
      </c>
      <c r="D8" s="178">
        <v>1</v>
      </c>
      <c r="E8" s="179">
        <f>1*$K$9*$K$17</f>
        <v>40</v>
      </c>
      <c r="F8" s="179" t="s">
        <v>118</v>
      </c>
      <c r="G8" s="83">
        <f>INDEX('TPU MAR-24'!$D$9:$D$999,MATCH(B8,'TPU MAR-24'!$A$9:$A$999,0))</f>
        <v>46.06</v>
      </c>
      <c r="H8" s="180">
        <f t="shared" si="0"/>
        <v>1842.4</v>
      </c>
      <c r="J8" s="175" t="s">
        <v>125</v>
      </c>
      <c r="K8" s="175">
        <v>10</v>
      </c>
    </row>
    <row r="9" spans="1:11" x14ac:dyDescent="0.25">
      <c r="A9" s="170"/>
      <c r="B9" s="171"/>
      <c r="C9" s="401" t="s">
        <v>488</v>
      </c>
      <c r="D9" s="402"/>
      <c r="E9" s="402"/>
      <c r="F9" s="402"/>
      <c r="G9" s="402"/>
      <c r="H9" s="403"/>
      <c r="J9" s="175" t="s">
        <v>127</v>
      </c>
      <c r="K9" s="175">
        <v>5</v>
      </c>
    </row>
    <row r="10" spans="1:11" x14ac:dyDescent="0.2">
      <c r="A10" s="176"/>
      <c r="B10" s="84" t="s">
        <v>140</v>
      </c>
      <c r="C10" s="177" t="s">
        <v>489</v>
      </c>
      <c r="D10" s="178">
        <v>1</v>
      </c>
      <c r="E10" s="179">
        <f>$K$17*$K$12</f>
        <v>1408</v>
      </c>
      <c r="F10" s="179" t="s">
        <v>118</v>
      </c>
      <c r="G10" s="83">
        <f>INDEX('TPU MAR-24'!$D$9:$D$999,MATCH(B10,'TPU MAR-24'!$A$9:$A$999,0))</f>
        <v>213.54</v>
      </c>
      <c r="H10" s="180">
        <f t="shared" ref="H10:H12" si="1">D10*E10*G10</f>
        <v>300664.32000000001</v>
      </c>
      <c r="J10" s="175" t="s">
        <v>130</v>
      </c>
      <c r="K10" s="175">
        <v>4</v>
      </c>
    </row>
    <row r="11" spans="1:11" x14ac:dyDescent="0.2">
      <c r="A11" s="176"/>
      <c r="B11" s="84" t="s">
        <v>140</v>
      </c>
      <c r="C11" s="177" t="s">
        <v>490</v>
      </c>
      <c r="D11" s="178">
        <v>1</v>
      </c>
      <c r="E11" s="179">
        <f>$K$17*$K$12</f>
        <v>1408</v>
      </c>
      <c r="F11" s="179" t="s">
        <v>118</v>
      </c>
      <c r="G11" s="83">
        <f>INDEX('TPU MAR-24'!$D$9:$D$999,MATCH(B11,'TPU MAR-24'!$A$9:$A$999,0))</f>
        <v>213.54</v>
      </c>
      <c r="H11" s="180">
        <f t="shared" si="1"/>
        <v>300664.32000000001</v>
      </c>
      <c r="J11" s="175" t="s">
        <v>119</v>
      </c>
      <c r="K11" s="175">
        <v>2</v>
      </c>
    </row>
    <row r="12" spans="1:11" x14ac:dyDescent="0.2">
      <c r="A12" s="176"/>
      <c r="B12" s="84" t="s">
        <v>140</v>
      </c>
      <c r="C12" s="177" t="s">
        <v>491</v>
      </c>
      <c r="D12" s="178">
        <v>1</v>
      </c>
      <c r="E12" s="179">
        <f>$K$12</f>
        <v>176</v>
      </c>
      <c r="F12" s="179" t="s">
        <v>118</v>
      </c>
      <c r="G12" s="83">
        <f>INDEX('TPU MAR-24'!$D$9:$D$999,MATCH(B12,'TPU MAR-24'!$A$9:$A$999,0))</f>
        <v>213.54</v>
      </c>
      <c r="H12" s="180">
        <f t="shared" si="1"/>
        <v>37583.040000000001</v>
      </c>
      <c r="J12" s="42" t="s">
        <v>434</v>
      </c>
      <c r="K12" s="42">
        <f>'TPU MAR-24'!$D$49</f>
        <v>176</v>
      </c>
    </row>
    <row r="13" spans="1:11" x14ac:dyDescent="0.25">
      <c r="A13" s="170"/>
      <c r="B13" s="171"/>
      <c r="C13" s="404" t="s">
        <v>179</v>
      </c>
      <c r="D13" s="404"/>
      <c r="E13" s="404"/>
      <c r="F13" s="404"/>
      <c r="G13" s="404"/>
      <c r="H13" s="182">
        <f>SUM(H6:H12)</f>
        <v>687597.60000000009</v>
      </c>
    </row>
    <row r="14" spans="1:11" x14ac:dyDescent="0.25">
      <c r="A14" s="170"/>
      <c r="B14" s="171"/>
      <c r="C14" s="395" t="s">
        <v>158</v>
      </c>
      <c r="D14" s="395"/>
      <c r="E14" s="395"/>
      <c r="F14" s="395"/>
      <c r="G14" s="395"/>
      <c r="H14" s="395"/>
      <c r="J14" s="175" t="s">
        <v>492</v>
      </c>
      <c r="K14" s="175">
        <v>2</v>
      </c>
    </row>
    <row r="15" spans="1:11" x14ac:dyDescent="0.2">
      <c r="C15" s="81" t="s">
        <v>167</v>
      </c>
      <c r="D15" s="26">
        <v>1</v>
      </c>
      <c r="E15" s="82">
        <v>1</v>
      </c>
      <c r="F15" s="82" t="s">
        <v>168</v>
      </c>
      <c r="G15" s="93">
        <v>1500</v>
      </c>
      <c r="H15" s="180">
        <f>D15*E15*G15</f>
        <v>1500</v>
      </c>
      <c r="J15" s="175" t="s">
        <v>493</v>
      </c>
      <c r="K15" s="175">
        <v>80</v>
      </c>
    </row>
    <row r="16" spans="1:11" x14ac:dyDescent="0.2">
      <c r="C16" s="81" t="s">
        <v>398</v>
      </c>
      <c r="D16" s="26">
        <f>$D$10</f>
        <v>1</v>
      </c>
      <c r="E16" s="82">
        <f>$K$17</f>
        <v>8</v>
      </c>
      <c r="F16" s="82" t="s">
        <v>321</v>
      </c>
      <c r="G16" s="93">
        <v>1800</v>
      </c>
      <c r="H16" s="180">
        <f t="shared" ref="H16:H18" si="2">D16*E16*G16</f>
        <v>14400</v>
      </c>
    </row>
    <row r="17" spans="1:12" x14ac:dyDescent="0.25">
      <c r="A17" s="170"/>
      <c r="B17" s="171"/>
      <c r="C17" s="177" t="s">
        <v>170</v>
      </c>
      <c r="D17" s="179">
        <f>SUM(D10:D12)</f>
        <v>3</v>
      </c>
      <c r="E17" s="179">
        <f>$K$17*30</f>
        <v>240</v>
      </c>
      <c r="F17" s="179" t="s">
        <v>161</v>
      </c>
      <c r="G17" s="95">
        <f>'TPU MAR-24'!$D$42</f>
        <v>193.64</v>
      </c>
      <c r="H17" s="180">
        <f t="shared" si="2"/>
        <v>139420.79999999999</v>
      </c>
      <c r="J17" s="175" t="s">
        <v>494</v>
      </c>
      <c r="K17" s="175">
        <v>8</v>
      </c>
    </row>
    <row r="18" spans="1:12" x14ac:dyDescent="0.25">
      <c r="A18" s="170"/>
      <c r="B18" s="171"/>
      <c r="C18" s="177" t="s">
        <v>217</v>
      </c>
      <c r="D18" s="179">
        <f>SUM(D10:D12)</f>
        <v>3</v>
      </c>
      <c r="E18" s="184">
        <f>$K$5</f>
        <v>280</v>
      </c>
      <c r="F18" s="179" t="s">
        <v>173</v>
      </c>
      <c r="G18" s="95">
        <f>'TPU MAR-24'!$D$40</f>
        <v>1.29</v>
      </c>
      <c r="H18" s="180">
        <f t="shared" si="2"/>
        <v>1083.6000000000001</v>
      </c>
      <c r="J18" s="175" t="s">
        <v>495</v>
      </c>
      <c r="K18" s="175">
        <v>10</v>
      </c>
    </row>
    <row r="19" spans="1:12" x14ac:dyDescent="0.25">
      <c r="A19" s="170"/>
      <c r="B19" s="171"/>
      <c r="C19" s="392"/>
      <c r="D19" s="393"/>
      <c r="E19" s="393"/>
      <c r="F19" s="393"/>
      <c r="G19" s="394"/>
      <c r="H19" s="182">
        <f>SUM(H15:H18)</f>
        <v>156404.4</v>
      </c>
      <c r="J19" s="175" t="s">
        <v>496</v>
      </c>
      <c r="K19" s="175">
        <v>2</v>
      </c>
      <c r="L19" s="170"/>
    </row>
    <row r="20" spans="1:12" x14ac:dyDescent="0.25">
      <c r="A20" s="170"/>
      <c r="B20" s="171"/>
      <c r="C20" s="396" t="s">
        <v>177</v>
      </c>
      <c r="D20" s="397"/>
      <c r="E20" s="397"/>
      <c r="F20" s="397"/>
      <c r="G20" s="397"/>
      <c r="H20" s="398"/>
      <c r="J20" s="175" t="s">
        <v>497</v>
      </c>
      <c r="K20" s="175">
        <v>1</v>
      </c>
    </row>
    <row r="21" spans="1:12" x14ac:dyDescent="0.25">
      <c r="A21" s="170"/>
      <c r="B21" s="171"/>
      <c r="C21" s="392" t="s">
        <v>179</v>
      </c>
      <c r="D21" s="393"/>
      <c r="E21" s="393"/>
      <c r="F21" s="393"/>
      <c r="G21" s="394"/>
      <c r="H21" s="182">
        <f>H13+H19</f>
        <v>844002.00000000012</v>
      </c>
      <c r="J21" s="175" t="s">
        <v>498</v>
      </c>
      <c r="K21" s="175">
        <v>17</v>
      </c>
    </row>
    <row r="22" spans="1:12" x14ac:dyDescent="0.25">
      <c r="A22" s="185"/>
      <c r="B22" s="186"/>
      <c r="C22" s="392" t="s">
        <v>499</v>
      </c>
      <c r="D22" s="393"/>
      <c r="E22" s="393"/>
      <c r="F22" s="393"/>
      <c r="G22" s="394"/>
      <c r="H22" s="182">
        <f>H21</f>
        <v>844002.00000000012</v>
      </c>
      <c r="J22" s="175" t="s">
        <v>500</v>
      </c>
      <c r="K22" s="187">
        <v>22000</v>
      </c>
    </row>
    <row r="23" spans="1:12" x14ac:dyDescent="0.25">
      <c r="A23" s="170"/>
      <c r="B23" s="171"/>
      <c r="C23" s="395" t="s">
        <v>501</v>
      </c>
      <c r="D23" s="395"/>
      <c r="E23" s="395"/>
      <c r="F23" s="395"/>
      <c r="G23" s="395"/>
      <c r="H23" s="395"/>
      <c r="J23" s="175" t="s">
        <v>502</v>
      </c>
      <c r="K23" s="175">
        <v>4</v>
      </c>
    </row>
    <row r="24" spans="1:12" x14ac:dyDescent="0.2">
      <c r="A24" s="176"/>
      <c r="B24" s="80" t="s">
        <v>116</v>
      </c>
      <c r="C24" s="177" t="s">
        <v>117</v>
      </c>
      <c r="D24" s="178">
        <v>1</v>
      </c>
      <c r="E24" s="179">
        <f>(($K$9/5)*($K$7/8)*($K$10/2)*$K$18)</f>
        <v>20</v>
      </c>
      <c r="F24" s="179" t="s">
        <v>118</v>
      </c>
      <c r="G24" s="83">
        <f>INDEX('TPU MAR-24'!$D$9:$D$999,MATCH(B24,'TPU MAR-24'!$A$9:$A$999,0))</f>
        <v>391.54</v>
      </c>
      <c r="H24" s="180">
        <f>D24*E24*G24</f>
        <v>7830.8</v>
      </c>
      <c r="J24" s="175" t="s">
        <v>503</v>
      </c>
      <c r="K24" s="175">
        <v>5</v>
      </c>
    </row>
    <row r="25" spans="1:12" x14ac:dyDescent="0.2">
      <c r="A25" s="181"/>
      <c r="B25" s="80" t="s">
        <v>123</v>
      </c>
      <c r="C25" s="177" t="s">
        <v>487</v>
      </c>
      <c r="D25" s="178">
        <v>1</v>
      </c>
      <c r="E25" s="179">
        <f>(($K$9/5)*($K$7/8)*$K$10*$K$18)</f>
        <v>40</v>
      </c>
      <c r="F25" s="179" t="s">
        <v>118</v>
      </c>
      <c r="G25" s="83">
        <f>INDEX('TPU MAR-24'!$D$9:$D$999,MATCH(B25,'TPU MAR-24'!$A$9:$A$999,0))</f>
        <v>268.08</v>
      </c>
      <c r="H25" s="180">
        <f t="shared" ref="H25:H28" si="3">D25*E25*G25</f>
        <v>10723.199999999999</v>
      </c>
      <c r="K25" s="188"/>
    </row>
    <row r="26" spans="1:12" x14ac:dyDescent="0.2">
      <c r="A26" s="176"/>
      <c r="B26" s="84" t="s">
        <v>140</v>
      </c>
      <c r="C26" s="177" t="s">
        <v>491</v>
      </c>
      <c r="D26" s="178">
        <v>1</v>
      </c>
      <c r="E26" s="179">
        <f>$K$7*($K$9/5)*($K$21)</f>
        <v>136</v>
      </c>
      <c r="F26" s="179" t="s">
        <v>118</v>
      </c>
      <c r="G26" s="83">
        <f>INDEX('TPU MAR-24'!$D$9:$D$999,MATCH(B26,'TPU MAR-24'!$A$9:$A$999,0))</f>
        <v>213.54</v>
      </c>
      <c r="H26" s="180">
        <f t="shared" si="3"/>
        <v>29041.439999999999</v>
      </c>
      <c r="J26" s="175" t="s">
        <v>504</v>
      </c>
      <c r="K26" s="175">
        <v>6</v>
      </c>
    </row>
    <row r="27" spans="1:12" x14ac:dyDescent="0.2">
      <c r="A27" s="176"/>
      <c r="B27" s="84" t="s">
        <v>140</v>
      </c>
      <c r="C27" s="177" t="s">
        <v>489</v>
      </c>
      <c r="D27" s="178">
        <v>1</v>
      </c>
      <c r="E27" s="179">
        <f>(($K$9/5)*($K$7/2)*$K$10*$K$18)</f>
        <v>160</v>
      </c>
      <c r="F27" s="179" t="s">
        <v>118</v>
      </c>
      <c r="G27" s="83">
        <f>INDEX('TPU MAR-24'!$D$9:$D$999,MATCH(B27,'TPU MAR-24'!$A$9:$A$999,0))</f>
        <v>213.54</v>
      </c>
      <c r="H27" s="180">
        <f t="shared" si="3"/>
        <v>34166.400000000001</v>
      </c>
      <c r="J27" s="175" t="s">
        <v>505</v>
      </c>
      <c r="K27" s="175">
        <v>10</v>
      </c>
    </row>
    <row r="28" spans="1:12" x14ac:dyDescent="0.2">
      <c r="A28" s="176"/>
      <c r="B28" s="84" t="s">
        <v>140</v>
      </c>
      <c r="C28" s="177" t="s">
        <v>490</v>
      </c>
      <c r="D28" s="178">
        <v>1</v>
      </c>
      <c r="E28" s="179">
        <f>(($K$9/5)*($K$7/2)*$K$10*$K$18)</f>
        <v>160</v>
      </c>
      <c r="F28" s="179" t="s">
        <v>118</v>
      </c>
      <c r="G28" s="83">
        <f>INDEX('TPU MAR-24'!$D$9:$D$999,MATCH(B28,'TPU MAR-24'!$A$9:$A$999,0))</f>
        <v>213.54</v>
      </c>
      <c r="H28" s="180">
        <f t="shared" si="3"/>
        <v>34166.400000000001</v>
      </c>
    </row>
    <row r="29" spans="1:12" x14ac:dyDescent="0.2">
      <c r="A29" s="176"/>
      <c r="B29" s="84" t="s">
        <v>146</v>
      </c>
      <c r="C29" s="177" t="s">
        <v>147</v>
      </c>
      <c r="D29" s="178">
        <v>1</v>
      </c>
      <c r="E29" s="179">
        <f>($K$9*$K$17)/2</f>
        <v>20</v>
      </c>
      <c r="F29" s="179" t="s">
        <v>118</v>
      </c>
      <c r="G29" s="83">
        <f>INDEX('TPU MAR-24'!$D$9:$D$999,MATCH(B29,'TPU MAR-24'!$A$9:$A$999,0))</f>
        <v>46.06</v>
      </c>
      <c r="H29" s="180">
        <f>D29*E29*G29</f>
        <v>921.2</v>
      </c>
      <c r="J29" s="175" t="s">
        <v>506</v>
      </c>
      <c r="K29" s="175">
        <v>2</v>
      </c>
    </row>
    <row r="30" spans="1:12" x14ac:dyDescent="0.25">
      <c r="A30" s="170"/>
      <c r="B30" s="171"/>
      <c r="C30" s="401" t="s">
        <v>507</v>
      </c>
      <c r="D30" s="402"/>
      <c r="E30" s="402"/>
      <c r="F30" s="402"/>
      <c r="G30" s="402"/>
      <c r="H30" s="403"/>
      <c r="J30" s="175" t="s">
        <v>508</v>
      </c>
      <c r="K30" s="175">
        <v>5</v>
      </c>
      <c r="L30" s="189"/>
    </row>
    <row r="31" spans="1:12" x14ac:dyDescent="0.2">
      <c r="A31" s="176"/>
      <c r="B31" s="84" t="s">
        <v>140</v>
      </c>
      <c r="C31" s="177" t="s">
        <v>489</v>
      </c>
      <c r="D31" s="178">
        <v>1</v>
      </c>
      <c r="E31" s="179">
        <f>($K$11+$K$19)*($K$8)</f>
        <v>40</v>
      </c>
      <c r="F31" s="179" t="s">
        <v>118</v>
      </c>
      <c r="G31" s="83">
        <f>INDEX('TPU MAR-24'!$D$9:$D$999,MATCH(B31,'TPU MAR-24'!$A$9:$A$999,0))</f>
        <v>213.54</v>
      </c>
      <c r="H31" s="180">
        <f t="shared" ref="H31:H33" si="4">D31*E31*G31</f>
        <v>8541.6</v>
      </c>
      <c r="J31" s="175" t="s">
        <v>509</v>
      </c>
      <c r="K31" s="175">
        <v>1</v>
      </c>
    </row>
    <row r="32" spans="1:12" x14ac:dyDescent="0.2">
      <c r="A32" s="176"/>
      <c r="B32" s="84" t="s">
        <v>140</v>
      </c>
      <c r="C32" s="177" t="s">
        <v>490</v>
      </c>
      <c r="D32" s="178">
        <v>1</v>
      </c>
      <c r="E32" s="179">
        <f>($K$11+$K$19)*($K$8)</f>
        <v>40</v>
      </c>
      <c r="F32" s="179" t="s">
        <v>118</v>
      </c>
      <c r="G32" s="83">
        <f>INDEX('TPU MAR-24'!$D$9:$D$999,MATCH(B32,'TPU MAR-24'!$A$9:$A$999,0))</f>
        <v>213.54</v>
      </c>
      <c r="H32" s="180">
        <f t="shared" si="4"/>
        <v>8541.6</v>
      </c>
      <c r="J32" s="175" t="s">
        <v>510</v>
      </c>
      <c r="K32" s="175">
        <v>3</v>
      </c>
    </row>
    <row r="33" spans="1:11" x14ac:dyDescent="0.2">
      <c r="A33" s="176"/>
      <c r="B33" s="84" t="s">
        <v>140</v>
      </c>
      <c r="C33" s="177" t="s">
        <v>491</v>
      </c>
      <c r="D33" s="178">
        <v>1</v>
      </c>
      <c r="E33" s="179">
        <f>($K$11+$K$19)*($K$8)</f>
        <v>40</v>
      </c>
      <c r="F33" s="179" t="s">
        <v>118</v>
      </c>
      <c r="G33" s="83">
        <f>INDEX('TPU MAR-24'!$D$9:$D$999,MATCH(B33,'TPU MAR-24'!$A$9:$A$999,0))</f>
        <v>213.54</v>
      </c>
      <c r="H33" s="180">
        <f t="shared" si="4"/>
        <v>8541.6</v>
      </c>
    </row>
    <row r="34" spans="1:11" x14ac:dyDescent="0.25">
      <c r="A34" s="170"/>
      <c r="B34" s="171"/>
      <c r="C34" s="404" t="s">
        <v>179</v>
      </c>
      <c r="D34" s="404"/>
      <c r="E34" s="404"/>
      <c r="F34" s="404"/>
      <c r="G34" s="404"/>
      <c r="H34" s="182">
        <f>SUM(H24:H33)</f>
        <v>142474.23999999999</v>
      </c>
      <c r="J34" s="175" t="s">
        <v>511</v>
      </c>
      <c r="K34" s="175">
        <v>8</v>
      </c>
    </row>
    <row r="35" spans="1:11" x14ac:dyDescent="0.25">
      <c r="A35" s="170"/>
      <c r="B35" s="171"/>
      <c r="C35" s="395" t="s">
        <v>158</v>
      </c>
      <c r="D35" s="395"/>
      <c r="E35" s="395"/>
      <c r="F35" s="395"/>
      <c r="G35" s="395"/>
      <c r="H35" s="395"/>
      <c r="J35" s="175" t="s">
        <v>512</v>
      </c>
      <c r="K35" s="175">
        <v>4</v>
      </c>
    </row>
    <row r="36" spans="1:11" x14ac:dyDescent="0.2">
      <c r="A36" s="170"/>
      <c r="B36" s="171"/>
      <c r="C36" s="177" t="s">
        <v>513</v>
      </c>
      <c r="D36" s="179">
        <f>$D$31</f>
        <v>1</v>
      </c>
      <c r="E36" s="179">
        <f>($K$11+$K$19)</f>
        <v>4</v>
      </c>
      <c r="F36" s="179" t="s">
        <v>161</v>
      </c>
      <c r="G36" s="83">
        <f>'TPU MAR-24'!$C$52</f>
        <v>318.24</v>
      </c>
      <c r="H36" s="180">
        <f>D36*E36*G36</f>
        <v>1272.96</v>
      </c>
    </row>
    <row r="37" spans="1:11" x14ac:dyDescent="0.2">
      <c r="A37" s="170"/>
      <c r="B37" s="171"/>
      <c r="C37" s="177" t="s">
        <v>514</v>
      </c>
      <c r="D37" s="179">
        <f>$D$32</f>
        <v>1</v>
      </c>
      <c r="E37" s="179">
        <f>($K$11+$K$19)</f>
        <v>4</v>
      </c>
      <c r="F37" s="179" t="s">
        <v>161</v>
      </c>
      <c r="G37" s="83">
        <f>'TPU MAR-24'!$C$52</f>
        <v>318.24</v>
      </c>
      <c r="H37" s="180">
        <f t="shared" ref="H37:H43" si="5">D37*E37*G37</f>
        <v>1272.96</v>
      </c>
      <c r="J37" s="175" t="s">
        <v>515</v>
      </c>
      <c r="K37" s="190">
        <v>196</v>
      </c>
    </row>
    <row r="38" spans="1:11" ht="24" x14ac:dyDescent="0.2">
      <c r="A38" s="170"/>
      <c r="B38" s="171"/>
      <c r="C38" s="177" t="s">
        <v>516</v>
      </c>
      <c r="D38" s="179">
        <f>$D$33</f>
        <v>1</v>
      </c>
      <c r="E38" s="179">
        <f>($K$11+$K$19)</f>
        <v>4</v>
      </c>
      <c r="F38" s="179" t="s">
        <v>161</v>
      </c>
      <c r="G38" s="83">
        <f>'TPU MAR-24'!$C$52</f>
        <v>318.24</v>
      </c>
      <c r="H38" s="180">
        <f t="shared" si="5"/>
        <v>1272.96</v>
      </c>
      <c r="J38" s="175" t="s">
        <v>517</v>
      </c>
      <c r="K38" s="175">
        <v>4</v>
      </c>
    </row>
    <row r="39" spans="1:11" x14ac:dyDescent="0.2">
      <c r="C39" s="81" t="s">
        <v>167</v>
      </c>
      <c r="D39" s="26">
        <v>1</v>
      </c>
      <c r="E39" s="82">
        <v>1</v>
      </c>
      <c r="F39" s="82" t="s">
        <v>168</v>
      </c>
      <c r="G39" s="93">
        <v>1500</v>
      </c>
      <c r="H39" s="180">
        <f t="shared" si="5"/>
        <v>1500</v>
      </c>
      <c r="J39" s="175" t="s">
        <v>518</v>
      </c>
      <c r="K39" s="175">
        <v>8</v>
      </c>
    </row>
    <row r="40" spans="1:11" x14ac:dyDescent="0.25">
      <c r="C40" s="177" t="s">
        <v>519</v>
      </c>
      <c r="D40" s="179">
        <f>$D$31</f>
        <v>1</v>
      </c>
      <c r="E40" s="179">
        <f>($K$11)</f>
        <v>2</v>
      </c>
      <c r="F40" s="179" t="s">
        <v>161</v>
      </c>
      <c r="G40" s="95">
        <f>'TPU MAR-24'!$D$42</f>
        <v>193.64</v>
      </c>
      <c r="H40" s="180">
        <f t="shared" si="5"/>
        <v>387.28</v>
      </c>
      <c r="J40" s="175" t="s">
        <v>520</v>
      </c>
      <c r="K40" s="175">
        <f>ROUNDUP(($K$37/$K$39),0)</f>
        <v>25</v>
      </c>
    </row>
    <row r="41" spans="1:11" x14ac:dyDescent="0.25">
      <c r="C41" s="177" t="s">
        <v>217</v>
      </c>
      <c r="D41" s="179">
        <f>D32</f>
        <v>1</v>
      </c>
      <c r="E41" s="184">
        <f>$K$5</f>
        <v>280</v>
      </c>
      <c r="F41" s="179" t="s">
        <v>173</v>
      </c>
      <c r="G41" s="95">
        <f>'TPU MAR-24'!$D$40</f>
        <v>1.29</v>
      </c>
      <c r="H41" s="180">
        <f t="shared" si="5"/>
        <v>361.2</v>
      </c>
      <c r="J41" s="175" t="s">
        <v>521</v>
      </c>
      <c r="K41" s="175">
        <f>ROUNDUP(($K$37/$K$38),0)</f>
        <v>49</v>
      </c>
    </row>
    <row r="42" spans="1:11" x14ac:dyDescent="0.25">
      <c r="A42" s="170"/>
      <c r="B42" s="171"/>
      <c r="C42" s="177" t="s">
        <v>522</v>
      </c>
      <c r="D42" s="179">
        <f>$D$33</f>
        <v>1</v>
      </c>
      <c r="E42" s="179">
        <f>($K$11)</f>
        <v>2</v>
      </c>
      <c r="F42" s="179" t="s">
        <v>161</v>
      </c>
      <c r="G42" s="95">
        <f>'TPU MAR-24'!$D$42</f>
        <v>193.64</v>
      </c>
      <c r="H42" s="180">
        <f t="shared" si="5"/>
        <v>387.28</v>
      </c>
      <c r="J42" s="175" t="s">
        <v>523</v>
      </c>
      <c r="K42" s="175">
        <f>3*12</f>
        <v>36</v>
      </c>
    </row>
    <row r="43" spans="1:11" x14ac:dyDescent="0.25">
      <c r="A43" s="170"/>
      <c r="B43" s="171"/>
      <c r="C43" s="177" t="s">
        <v>217</v>
      </c>
      <c r="D43" s="179">
        <f>SUM(D33)</f>
        <v>1</v>
      </c>
      <c r="E43" s="184">
        <f>$K$5</f>
        <v>280</v>
      </c>
      <c r="F43" s="179" t="s">
        <v>173</v>
      </c>
      <c r="G43" s="95">
        <f>'TPU MAR-24'!$D$40</f>
        <v>1.29</v>
      </c>
      <c r="H43" s="180">
        <f t="shared" si="5"/>
        <v>361.2</v>
      </c>
      <c r="J43" s="175" t="s">
        <v>524</v>
      </c>
      <c r="K43" s="175">
        <v>24</v>
      </c>
    </row>
    <row r="44" spans="1:11" x14ac:dyDescent="0.25">
      <c r="A44" s="170"/>
      <c r="B44" s="171"/>
      <c r="C44" s="392"/>
      <c r="D44" s="393"/>
      <c r="E44" s="393"/>
      <c r="F44" s="393"/>
      <c r="G44" s="394"/>
      <c r="H44" s="182">
        <f>SUM(H36:H43)</f>
        <v>6815.8399999999992</v>
      </c>
      <c r="J44" s="175" t="s">
        <v>525</v>
      </c>
      <c r="K44" s="175">
        <v>4</v>
      </c>
    </row>
    <row r="45" spans="1:11" x14ac:dyDescent="0.25">
      <c r="A45" s="170"/>
      <c r="B45" s="171"/>
      <c r="C45" s="396" t="s">
        <v>177</v>
      </c>
      <c r="D45" s="397"/>
      <c r="E45" s="397"/>
      <c r="F45" s="397"/>
      <c r="G45" s="397"/>
      <c r="H45" s="398"/>
    </row>
    <row r="46" spans="1:11" x14ac:dyDescent="0.25">
      <c r="A46" s="170"/>
      <c r="B46" s="171"/>
      <c r="C46" s="392" t="s">
        <v>179</v>
      </c>
      <c r="D46" s="393"/>
      <c r="E46" s="393"/>
      <c r="F46" s="393"/>
      <c r="G46" s="394"/>
      <c r="H46" s="182">
        <f>H34+H44</f>
        <v>149290.07999999999</v>
      </c>
      <c r="J46" s="175" t="s">
        <v>526</v>
      </c>
      <c r="K46" s="175">
        <v>3</v>
      </c>
    </row>
    <row r="47" spans="1:11" x14ac:dyDescent="0.25">
      <c r="A47" s="164"/>
      <c r="B47" s="165"/>
      <c r="C47" s="392" t="s">
        <v>527</v>
      </c>
      <c r="D47" s="393"/>
      <c r="E47" s="393"/>
      <c r="F47" s="393"/>
      <c r="G47" s="394"/>
      <c r="H47" s="182">
        <f>H46</f>
        <v>149290.07999999999</v>
      </c>
      <c r="J47" s="175" t="s">
        <v>528</v>
      </c>
      <c r="K47" s="175">
        <v>20</v>
      </c>
    </row>
    <row r="48" spans="1:11" x14ac:dyDescent="0.25">
      <c r="A48" s="170"/>
      <c r="B48" s="171"/>
      <c r="C48" s="395" t="s">
        <v>529</v>
      </c>
      <c r="D48" s="395"/>
      <c r="E48" s="395"/>
      <c r="F48" s="395"/>
      <c r="G48" s="395"/>
      <c r="H48" s="395"/>
      <c r="J48" s="175" t="s">
        <v>530</v>
      </c>
      <c r="K48" s="175">
        <v>30</v>
      </c>
    </row>
    <row r="49" spans="1:12" x14ac:dyDescent="0.2">
      <c r="A49" s="181"/>
      <c r="B49" s="80" t="s">
        <v>123</v>
      </c>
      <c r="C49" s="177" t="s">
        <v>531</v>
      </c>
      <c r="D49" s="178">
        <v>1</v>
      </c>
      <c r="E49" s="179">
        <f>$K$24*$K$7</f>
        <v>40</v>
      </c>
      <c r="F49" s="179" t="s">
        <v>118</v>
      </c>
      <c r="G49" s="83">
        <f>INDEX('TPU MAR-24'!$D$9:$D$999,MATCH(B49,'TPU MAR-24'!$A$9:$A$999,0))</f>
        <v>268.08</v>
      </c>
      <c r="H49" s="180">
        <f t="shared" ref="H49:H50" si="6">D49*E49*G49</f>
        <v>10723.199999999999</v>
      </c>
      <c r="J49" s="175" t="s">
        <v>532</v>
      </c>
      <c r="K49" s="175">
        <v>10</v>
      </c>
    </row>
    <row r="50" spans="1:12" x14ac:dyDescent="0.2">
      <c r="A50" s="176"/>
      <c r="B50" s="80" t="s">
        <v>123</v>
      </c>
      <c r="C50" s="177" t="s">
        <v>533</v>
      </c>
      <c r="D50" s="178">
        <v>1</v>
      </c>
      <c r="E50" s="179">
        <f>$K$24*$K$7</f>
        <v>40</v>
      </c>
      <c r="F50" s="179" t="s">
        <v>118</v>
      </c>
      <c r="G50" s="83">
        <f>INDEX('TPU MAR-24'!$D$9:$D$999,MATCH(B50,'TPU MAR-24'!$A$9:$A$999,0))</f>
        <v>268.08</v>
      </c>
      <c r="H50" s="180">
        <f t="shared" si="6"/>
        <v>10723.199999999999</v>
      </c>
      <c r="J50" s="175" t="s">
        <v>534</v>
      </c>
      <c r="K50" s="175">
        <v>3</v>
      </c>
    </row>
    <row r="51" spans="1:12" x14ac:dyDescent="0.2">
      <c r="A51" s="176"/>
      <c r="B51" s="84" t="s">
        <v>146</v>
      </c>
      <c r="C51" s="177" t="s">
        <v>147</v>
      </c>
      <c r="D51" s="178">
        <v>1</v>
      </c>
      <c r="E51" s="179">
        <f>($K$24*$K$7)/4</f>
        <v>10</v>
      </c>
      <c r="F51" s="179" t="s">
        <v>118</v>
      </c>
      <c r="G51" s="83">
        <f>INDEX('TPU MAR-24'!$D$9:$D$999,MATCH(B51,'TPU MAR-24'!$A$9:$A$999,0))</f>
        <v>46.06</v>
      </c>
      <c r="H51" s="180">
        <f>D51*E51*G51</f>
        <v>460.6</v>
      </c>
      <c r="J51" s="175" t="s">
        <v>535</v>
      </c>
      <c r="K51" s="175">
        <v>29</v>
      </c>
    </row>
    <row r="52" spans="1:12" x14ac:dyDescent="0.25">
      <c r="A52" s="170"/>
      <c r="B52" s="171"/>
      <c r="C52" s="401" t="s">
        <v>536</v>
      </c>
      <c r="D52" s="402"/>
      <c r="E52" s="402"/>
      <c r="F52" s="402"/>
      <c r="G52" s="402"/>
      <c r="H52" s="403"/>
      <c r="J52" s="175" t="s">
        <v>537</v>
      </c>
      <c r="K52" s="175">
        <v>5000</v>
      </c>
    </row>
    <row r="53" spans="1:12" x14ac:dyDescent="0.2">
      <c r="A53" s="176"/>
      <c r="B53" s="80" t="s">
        <v>123</v>
      </c>
      <c r="C53" s="177" t="s">
        <v>531</v>
      </c>
      <c r="D53" s="178">
        <v>1</v>
      </c>
      <c r="E53" s="179">
        <f>($K$23+$K$11)*$K$8</f>
        <v>60</v>
      </c>
      <c r="F53" s="179" t="s">
        <v>118</v>
      </c>
      <c r="G53" s="83">
        <f>INDEX('TPU MAR-24'!$D$9:$D$999,MATCH(B53,'TPU MAR-24'!$A$9:$A$999,0))</f>
        <v>268.08</v>
      </c>
      <c r="H53" s="180">
        <f t="shared" ref="H53:H55" si="7">D53*E53*G53</f>
        <v>16084.8</v>
      </c>
    </row>
    <row r="54" spans="1:12" x14ac:dyDescent="0.2">
      <c r="A54" s="176"/>
      <c r="B54" s="80" t="s">
        <v>123</v>
      </c>
      <c r="C54" s="177" t="s">
        <v>533</v>
      </c>
      <c r="D54" s="178">
        <v>1</v>
      </c>
      <c r="E54" s="179">
        <f>($K$23+$K$11)*$K$8</f>
        <v>60</v>
      </c>
      <c r="F54" s="179" t="s">
        <v>118</v>
      </c>
      <c r="G54" s="83">
        <f>INDEX('TPU MAR-24'!$D$9:$D$999,MATCH(B54,'TPU MAR-24'!$A$9:$A$999,0))</f>
        <v>268.08</v>
      </c>
      <c r="H54" s="180">
        <f t="shared" si="7"/>
        <v>16084.8</v>
      </c>
      <c r="J54" s="175" t="s">
        <v>538</v>
      </c>
      <c r="K54" s="175">
        <v>1</v>
      </c>
      <c r="L54" s="170"/>
    </row>
    <row r="55" spans="1:12" x14ac:dyDescent="0.2">
      <c r="A55" s="176"/>
      <c r="B55" s="84" t="s">
        <v>153</v>
      </c>
      <c r="C55" s="177" t="s">
        <v>154</v>
      </c>
      <c r="D55" s="178">
        <v>1</v>
      </c>
      <c r="E55" s="179">
        <f>($K$23)*$K$8</f>
        <v>40</v>
      </c>
      <c r="F55" s="179" t="s">
        <v>118</v>
      </c>
      <c r="G55" s="83">
        <f>INDEX('TPU MAR-24'!$D$9:$D$999,MATCH(B55,'TPU MAR-24'!$A$9:$A$999,0))</f>
        <v>25.5</v>
      </c>
      <c r="H55" s="180">
        <f t="shared" si="7"/>
        <v>1020</v>
      </c>
      <c r="J55" s="175" t="s">
        <v>539</v>
      </c>
      <c r="K55" s="175">
        <v>20</v>
      </c>
    </row>
    <row r="56" spans="1:12" x14ac:dyDescent="0.25">
      <c r="A56" s="170"/>
      <c r="B56" s="171"/>
      <c r="C56" s="404" t="s">
        <v>179</v>
      </c>
      <c r="D56" s="404"/>
      <c r="E56" s="404"/>
      <c r="F56" s="404"/>
      <c r="G56" s="404"/>
      <c r="H56" s="182">
        <f>SUM(H49:H55)</f>
        <v>55096.599999999991</v>
      </c>
      <c r="J56" s="175" t="s">
        <v>540</v>
      </c>
      <c r="K56" s="175">
        <v>7</v>
      </c>
    </row>
    <row r="57" spans="1:12" x14ac:dyDescent="0.25">
      <c r="A57" s="170"/>
      <c r="B57" s="171"/>
      <c r="C57" s="395" t="s">
        <v>541</v>
      </c>
      <c r="D57" s="395"/>
      <c r="E57" s="395"/>
      <c r="F57" s="395"/>
      <c r="G57" s="395"/>
      <c r="H57" s="395"/>
    </row>
    <row r="58" spans="1:12" x14ac:dyDescent="0.2">
      <c r="A58" s="170"/>
      <c r="B58" s="171"/>
      <c r="C58" s="177" t="s">
        <v>542</v>
      </c>
      <c r="D58" s="179">
        <f>$D$31</f>
        <v>1</v>
      </c>
      <c r="E58" s="179">
        <f>($K$23+$K$11)</f>
        <v>6</v>
      </c>
      <c r="F58" s="179" t="s">
        <v>161</v>
      </c>
      <c r="G58" s="83">
        <f>'TPU MAR-24'!$C$52</f>
        <v>318.24</v>
      </c>
      <c r="H58" s="180">
        <f>D58*E58*G58</f>
        <v>1909.44</v>
      </c>
    </row>
    <row r="59" spans="1:12" x14ac:dyDescent="0.2">
      <c r="A59" s="170"/>
      <c r="B59" s="171"/>
      <c r="C59" s="177" t="s">
        <v>543</v>
      </c>
      <c r="D59" s="179">
        <f>$D$32</f>
        <v>1</v>
      </c>
      <c r="E59" s="179">
        <f>($K$23+$K$11)</f>
        <v>6</v>
      </c>
      <c r="F59" s="179" t="s">
        <v>161</v>
      </c>
      <c r="G59" s="83">
        <f>'TPU MAR-24'!$C$52</f>
        <v>318.24</v>
      </c>
      <c r="H59" s="180">
        <f t="shared" ref="H59:H62" si="8">D59*E59*G59</f>
        <v>1909.44</v>
      </c>
    </row>
    <row r="60" spans="1:12" x14ac:dyDescent="0.2">
      <c r="A60" s="170"/>
      <c r="B60" s="171"/>
      <c r="C60" s="177" t="s">
        <v>165</v>
      </c>
      <c r="D60" s="179">
        <f>$D$33</f>
        <v>1</v>
      </c>
      <c r="E60" s="179">
        <f>($K$23)</f>
        <v>4</v>
      </c>
      <c r="F60" s="179" t="s">
        <v>161</v>
      </c>
      <c r="G60" s="83">
        <f>'TPU MAR-24'!$C$53</f>
        <v>159.12</v>
      </c>
      <c r="H60" s="180">
        <f t="shared" si="8"/>
        <v>636.48</v>
      </c>
    </row>
    <row r="61" spans="1:12" x14ac:dyDescent="0.2">
      <c r="C61" s="81" t="s">
        <v>167</v>
      </c>
      <c r="D61" s="26">
        <v>1</v>
      </c>
      <c r="E61" s="82">
        <v>1</v>
      </c>
      <c r="F61" s="82" t="s">
        <v>168</v>
      </c>
      <c r="G61" s="93">
        <v>1500</v>
      </c>
      <c r="H61" s="180">
        <f t="shared" si="8"/>
        <v>1500</v>
      </c>
    </row>
    <row r="62" spans="1:12" x14ac:dyDescent="0.25">
      <c r="C62" s="177" t="s">
        <v>228</v>
      </c>
      <c r="D62" s="179">
        <f>D60</f>
        <v>1</v>
      </c>
      <c r="E62" s="179">
        <f>E60</f>
        <v>4</v>
      </c>
      <c r="F62" s="179" t="s">
        <v>161</v>
      </c>
      <c r="G62" s="95">
        <f>'TPU MAR-24'!$D$42</f>
        <v>193.64</v>
      </c>
      <c r="H62" s="180">
        <f t="shared" si="8"/>
        <v>774.56</v>
      </c>
    </row>
    <row r="63" spans="1:12" x14ac:dyDescent="0.25">
      <c r="C63" s="177" t="s">
        <v>217</v>
      </c>
      <c r="D63" s="179">
        <f>SUM(D55)</f>
        <v>1</v>
      </c>
      <c r="E63" s="184">
        <f>$K$5</f>
        <v>280</v>
      </c>
      <c r="F63" s="179" t="s">
        <v>173</v>
      </c>
      <c r="G63" s="95">
        <f>'TPU MAR-24'!$D$40</f>
        <v>1.29</v>
      </c>
      <c r="H63" s="180">
        <f>D63*E63*G63</f>
        <v>361.2</v>
      </c>
    </row>
    <row r="64" spans="1:12" x14ac:dyDescent="0.25">
      <c r="A64" s="170"/>
      <c r="B64" s="171"/>
      <c r="C64" s="404" t="s">
        <v>179</v>
      </c>
      <c r="D64" s="404"/>
      <c r="E64" s="404"/>
      <c r="F64" s="404"/>
      <c r="G64" s="404"/>
      <c r="H64" s="182">
        <f>SUM(H58:H63)</f>
        <v>7091.12</v>
      </c>
    </row>
    <row r="65" spans="1:8" x14ac:dyDescent="0.25">
      <c r="A65" s="170"/>
      <c r="B65" s="171"/>
      <c r="C65" s="396" t="s">
        <v>177</v>
      </c>
      <c r="D65" s="397"/>
      <c r="E65" s="397"/>
      <c r="F65" s="397"/>
      <c r="G65" s="397"/>
      <c r="H65" s="398"/>
    </row>
    <row r="66" spans="1:8" x14ac:dyDescent="0.25">
      <c r="A66" s="170"/>
      <c r="B66" s="171"/>
      <c r="C66" s="392" t="s">
        <v>179</v>
      </c>
      <c r="D66" s="393"/>
      <c r="E66" s="393"/>
      <c r="F66" s="393"/>
      <c r="G66" s="394"/>
      <c r="H66" s="182">
        <f>H56+H64</f>
        <v>62187.719999999994</v>
      </c>
    </row>
    <row r="67" spans="1:8" x14ac:dyDescent="0.25">
      <c r="A67" s="164"/>
      <c r="B67" s="165"/>
      <c r="C67" s="392" t="s">
        <v>544</v>
      </c>
      <c r="D67" s="393"/>
      <c r="E67" s="393"/>
      <c r="F67" s="413"/>
      <c r="G67" s="93">
        <f>$K$22</f>
        <v>22000</v>
      </c>
      <c r="H67" s="93"/>
    </row>
    <row r="68" spans="1:8" x14ac:dyDescent="0.25">
      <c r="A68" s="164"/>
      <c r="B68" s="165"/>
      <c r="C68" s="392" t="s">
        <v>545</v>
      </c>
      <c r="D68" s="393"/>
      <c r="E68" s="393"/>
      <c r="F68" s="393"/>
      <c r="G68" s="394"/>
      <c r="H68" s="182">
        <f>G67+H66</f>
        <v>84187.72</v>
      </c>
    </row>
    <row r="69" spans="1:8" x14ac:dyDescent="0.25">
      <c r="A69" s="164"/>
      <c r="B69" s="165"/>
      <c r="C69" s="392" t="s">
        <v>546</v>
      </c>
      <c r="D69" s="393"/>
      <c r="E69" s="393"/>
      <c r="F69" s="393"/>
      <c r="G69" s="303">
        <v>28</v>
      </c>
      <c r="H69" s="182">
        <f>H68*G69</f>
        <v>2357256.16</v>
      </c>
    </row>
    <row r="70" spans="1:8" x14ac:dyDescent="0.25">
      <c r="A70" s="164"/>
      <c r="B70" s="165"/>
      <c r="C70" s="392" t="s">
        <v>385</v>
      </c>
      <c r="D70" s="393"/>
      <c r="E70" s="393"/>
      <c r="F70" s="393"/>
      <c r="G70" s="394"/>
      <c r="H70" s="182">
        <f>H22+H47+H68+H69</f>
        <v>3434735.96</v>
      </c>
    </row>
    <row r="71" spans="1:8" x14ac:dyDescent="0.25">
      <c r="A71" s="164"/>
      <c r="B71" s="165"/>
      <c r="C71" s="164"/>
      <c r="D71" s="164"/>
      <c r="E71" s="164"/>
      <c r="F71" s="164"/>
      <c r="G71" s="164"/>
      <c r="H71" s="164"/>
    </row>
    <row r="72" spans="1:8" x14ac:dyDescent="0.25">
      <c r="A72" s="164"/>
      <c r="B72" s="165"/>
      <c r="C72" s="164"/>
      <c r="D72" s="164"/>
      <c r="E72" s="164"/>
      <c r="F72" s="164"/>
      <c r="G72" s="164"/>
      <c r="H72" s="164"/>
    </row>
    <row r="73" spans="1:8" x14ac:dyDescent="0.25">
      <c r="A73" s="166" t="str">
        <f>CAPEX!$A$52</f>
        <v>7.2</v>
      </c>
      <c r="B73" s="167"/>
      <c r="C73" s="399" t="str">
        <f>CAPEX!$B$52</f>
        <v>Elaboração do Programa de Gerenciamento de Riscos - PGR e Plano de Atendimento a Emergências - PAE</v>
      </c>
      <c r="D73" s="400"/>
      <c r="E73" s="400"/>
      <c r="F73" s="400"/>
      <c r="G73" s="400"/>
      <c r="H73" s="168">
        <f>H99</f>
        <v>67833.119999999995</v>
      </c>
    </row>
    <row r="74" spans="1:8" ht="24" x14ac:dyDescent="0.25">
      <c r="A74" s="170"/>
      <c r="B74" s="171"/>
      <c r="C74" s="172" t="s">
        <v>109</v>
      </c>
      <c r="D74" s="172" t="s">
        <v>28</v>
      </c>
      <c r="E74" s="172" t="s">
        <v>110</v>
      </c>
      <c r="F74" s="172" t="s">
        <v>111</v>
      </c>
      <c r="G74" s="172" t="s">
        <v>112</v>
      </c>
      <c r="H74" s="174" t="s">
        <v>113</v>
      </c>
    </row>
    <row r="75" spans="1:8" x14ac:dyDescent="0.25">
      <c r="A75" s="170"/>
      <c r="B75" s="171"/>
      <c r="C75" s="395" t="s">
        <v>190</v>
      </c>
      <c r="D75" s="395"/>
      <c r="E75" s="395"/>
      <c r="F75" s="395"/>
      <c r="G75" s="395"/>
      <c r="H75" s="395"/>
    </row>
    <row r="76" spans="1:8" x14ac:dyDescent="0.2">
      <c r="A76" s="176"/>
      <c r="B76" s="80" t="s">
        <v>116</v>
      </c>
      <c r="C76" s="177" t="s">
        <v>117</v>
      </c>
      <c r="D76" s="179">
        <v>1</v>
      </c>
      <c r="E76" s="179">
        <f>($K$7/2)*($K$9/5)*($K$10)*$K$14</f>
        <v>32</v>
      </c>
      <c r="F76" s="179" t="s">
        <v>118</v>
      </c>
      <c r="G76" s="83">
        <f>INDEX('TPU MAR-24'!$D$9:$D$999,MATCH(B76,'TPU MAR-24'!$A$9:$A$999,0))</f>
        <v>391.54</v>
      </c>
      <c r="H76" s="180">
        <f>D76*E76*G76</f>
        <v>12529.28</v>
      </c>
    </row>
    <row r="77" spans="1:8" x14ac:dyDescent="0.2">
      <c r="A77" s="181"/>
      <c r="B77" s="80" t="s">
        <v>123</v>
      </c>
      <c r="C77" s="177" t="s">
        <v>229</v>
      </c>
      <c r="D77" s="179">
        <v>1</v>
      </c>
      <c r="E77" s="82">
        <f>IF(AND($K$4&gt;0,$K$4&lt;=300),(2*$K$7),IF(AND($K$4&gt;300,$K$4&lt;=400),(3*$K$7),IF(AND($K$4&gt;400,$K$4&lt;=500),(4*$K$7),IF(AND($K$4&gt;500,$K$4&lt;=600),(5*$K$7),IF(AND($K$4&gt;600,$K$4&lt;=700),(6*$K$7),IF(AND($K$4&gt;700,$K$4&lt;=800),(7*$K$7),IF(AND($K$4&gt;800,$K$4&lt;=900),(8*$K$7),IF(AND($K$4&gt;900,$K$4&lt;=1000),(9*$K$7),IF(AND($K$4&gt;1000,$K$4&lt;=1300),(10*$K$7),IF($K$4&gt;=1300,(15)*$K$7,""))))))))))</f>
        <v>16</v>
      </c>
      <c r="F77" s="179" t="s">
        <v>118</v>
      </c>
      <c r="G77" s="83">
        <f>INDEX('TPU MAR-24'!$D$9:$D$999,MATCH(B77,'TPU MAR-24'!$A$9:$A$999,0))</f>
        <v>268.08</v>
      </c>
      <c r="H77" s="180">
        <f t="shared" ref="H77:H83" si="9">D77*E77*G77</f>
        <v>4289.28</v>
      </c>
    </row>
    <row r="78" spans="1:8" x14ac:dyDescent="0.2">
      <c r="A78" s="181"/>
      <c r="B78" s="80" t="s">
        <v>120</v>
      </c>
      <c r="C78" s="177" t="s">
        <v>547</v>
      </c>
      <c r="D78" s="179">
        <v>1</v>
      </c>
      <c r="E78" s="82">
        <f>IF(AND($K$4&gt;0,$K$4&lt;=300),(2*$K$7),IF(AND($K$4&gt;300,$K$4&lt;=400),(3*$K$7),IF(AND($K$4&gt;400,$K$4&lt;=500),(4*$K$7),IF(AND($K$4&gt;500,$K$4&lt;=600),(5*$K$7),IF(AND($K$4&gt;600,$K$4&lt;=700),(6*$K$7),IF(AND($K$4&gt;700,$K$4&lt;=800),(7*$K$7),IF(AND($K$4&gt;800,$K$4&lt;=900),(8*$K$7),IF(AND($K$4&gt;900,$K$4&lt;=1000),(9*$K$7),IF(AND($K$4&gt;1000,$K$4&lt;=1300),(10*$K$7),IF($K$4&gt;=1300,(15)*$K$7,""))))))))))/2</f>
        <v>8</v>
      </c>
      <c r="F78" s="179" t="s">
        <v>118</v>
      </c>
      <c r="G78" s="83">
        <f>INDEX('TPU MAR-24'!$D$9:$D$999,MATCH(B78,'TPU MAR-24'!$A$9:$A$999,0))</f>
        <v>254.39</v>
      </c>
      <c r="H78" s="180">
        <f t="shared" si="9"/>
        <v>2035.12</v>
      </c>
    </row>
    <row r="79" spans="1:8" x14ac:dyDescent="0.2">
      <c r="A79" s="181"/>
      <c r="B79" s="80" t="s">
        <v>123</v>
      </c>
      <c r="C79" s="177" t="s">
        <v>548</v>
      </c>
      <c r="D79" s="179">
        <v>1</v>
      </c>
      <c r="E79" s="82">
        <f>IF(AND($K$4&gt;0,$K$4&lt;=300),(2*$K$7),IF(AND($K$4&gt;300,$K$4&lt;=400),(3*$K$7),IF(AND($K$4&gt;400,$K$4&lt;=500),(4*$K$7),IF(AND($K$4&gt;500,$K$4&lt;=600),(5*$K$7),IF(AND($K$4&gt;600,$K$4&lt;=700),(6*$K$7),IF(AND($K$4&gt;700,$K$4&lt;=800),(7*$K$7),IF(AND($K$4&gt;800,$K$4&lt;=900),(8*$K$7),IF(AND($K$4&gt;900,$K$4&lt;=1000),(9*$K$7),IF(AND($K$4&gt;1000,$K$4&lt;=1300),(10*$K$7),IF($K$4&gt;=1300,(15)*$K$7,""))))))))))/2</f>
        <v>8</v>
      </c>
      <c r="F79" s="179" t="s">
        <v>118</v>
      </c>
      <c r="G79" s="83">
        <f>INDEX('TPU MAR-24'!$D$9:$D$999,MATCH(B79,'TPU MAR-24'!$A$9:$A$999,0))</f>
        <v>268.08</v>
      </c>
      <c r="H79" s="180">
        <f t="shared" si="9"/>
        <v>2144.64</v>
      </c>
    </row>
    <row r="80" spans="1:8" x14ac:dyDescent="0.2">
      <c r="A80" s="176"/>
      <c r="B80" s="80" t="s">
        <v>123</v>
      </c>
      <c r="C80" s="177" t="s">
        <v>549</v>
      </c>
      <c r="D80" s="179">
        <v>1</v>
      </c>
      <c r="E80" s="82">
        <f>IF(AND($K$4&gt;0,$K$4&lt;=300),(2*$K$7),IF(AND($K$4&gt;300,$K$4&lt;=400),(3*$K$7),IF(AND($K$4&gt;400,$K$4&lt;=500),(4*$K$7),IF(AND($K$4&gt;500,$K$4&lt;=600),(5*$K$7),IF(AND($K$4&gt;600,$K$4&lt;=700),(6*$K$7),IF(AND($K$4&gt;700,$K$4&lt;=800),(7*$K$7),IF(AND($K$4&gt;800,$K$4&lt;=900),(8*$K$7),IF(AND($K$4&gt;900,$K$4&lt;=1000),(9*$K$7),IF(AND($K$4&gt;1000,$K$4&lt;=1300),(10*$K$7),IF($K$4&gt;=1300,(15)*$K$7,""))))))))))/2</f>
        <v>8</v>
      </c>
      <c r="F80" s="179" t="s">
        <v>118</v>
      </c>
      <c r="G80" s="83">
        <f>INDEX('TPU MAR-24'!$D$9:$D$999,MATCH(B80,'TPU MAR-24'!$A$9:$A$999,0))</f>
        <v>268.08</v>
      </c>
      <c r="H80" s="180">
        <f t="shared" si="9"/>
        <v>2144.64</v>
      </c>
    </row>
    <row r="81" spans="1:8" x14ac:dyDescent="0.2">
      <c r="A81" s="176"/>
      <c r="B81" s="84" t="s">
        <v>140</v>
      </c>
      <c r="C81" s="177" t="s">
        <v>221</v>
      </c>
      <c r="D81" s="82">
        <f>IF(AND($K$4&gt;0,$K$4&lt;=600),1,IF($K$4&gt;=600,2,""))</f>
        <v>1</v>
      </c>
      <c r="E81" s="82">
        <f>IF(AND($K$4&gt;0,$K$4&lt;=300),(2*$K$7),IF(AND($K$4&gt;300,$K$4&lt;=400),(3*$K$7),IF(AND($K$4&gt;400,$K$4&lt;=500),(4*$K$7),IF(AND($K$4&gt;500,$K$4&lt;=600),(5*$K$7),IF(AND($K$4&gt;600,$K$4&lt;=700),(6*$K$7),IF(AND($K$4&gt;700,$K$4&lt;=800),(7*$K$7),IF(AND($K$4&gt;800,$K$4&lt;=900),(8*$K$7),IF(AND($K$4&gt;900,$K$4&lt;=1000),(9*$K$7),IF(AND($K$4&gt;1000,$K$4&lt;=1300),(10*$K$7),IF($K$4&gt;=1300,(15)*$K$7,""))))))))))</f>
        <v>16</v>
      </c>
      <c r="F81" s="179" t="s">
        <v>118</v>
      </c>
      <c r="G81" s="83">
        <f>INDEX('TPU MAR-24'!$D$9:$D$999,MATCH(B81,'TPU MAR-24'!$A$9:$A$999,0))</f>
        <v>213.54</v>
      </c>
      <c r="H81" s="180">
        <f t="shared" si="9"/>
        <v>3416.64</v>
      </c>
    </row>
    <row r="82" spans="1:8" x14ac:dyDescent="0.2">
      <c r="A82" s="176"/>
      <c r="B82" s="84" t="s">
        <v>143</v>
      </c>
      <c r="C82" s="177" t="s">
        <v>200</v>
      </c>
      <c r="D82" s="179">
        <v>1</v>
      </c>
      <c r="E82" s="82">
        <f>IF(AND($K$4&gt;0,$K$4&lt;=300),(2*$K$7),IF(AND($K$4&gt;300,$K$4&lt;=400),(3*$K$7),IF(AND($K$4&gt;400,$K$4&lt;=500),(4*$K$7),IF(AND($K$4&gt;500,$K$4&lt;=600),(5*$K$7),IF(AND($K$4&gt;600,$K$4&lt;=700),(6*$K$7),IF(AND($K$4&gt;700,$K$4&lt;=800),(7*$K$7),IF(AND($K$4&gt;800,$K$4&lt;=900),(8*$K$7),IF(AND($K$4&gt;900,$K$4&lt;=1000),(9*$K$7),IF(AND($K$4&gt;1000,$K$4&lt;=1300),(10*$K$7),IF($K$4&gt;=1300,(15)*$K$7,""))))))))))/2</f>
        <v>8</v>
      </c>
      <c r="F82" s="179" t="s">
        <v>118</v>
      </c>
      <c r="G82" s="83">
        <f>INDEX('TPU MAR-24'!$D$9:$D$999,MATCH(B82,'TPU MAR-24'!$A$9:$A$999,0))</f>
        <v>94.41</v>
      </c>
      <c r="H82" s="180">
        <f t="shared" si="9"/>
        <v>755.28</v>
      </c>
    </row>
    <row r="83" spans="1:8" x14ac:dyDescent="0.2">
      <c r="A83" s="176"/>
      <c r="B83" s="84" t="s">
        <v>146</v>
      </c>
      <c r="C83" s="177" t="s">
        <v>147</v>
      </c>
      <c r="D83" s="179">
        <v>1</v>
      </c>
      <c r="E83" s="179">
        <f>($K$7/4)*($K$9/5)*($K$10)*$K$14</f>
        <v>16</v>
      </c>
      <c r="F83" s="179" t="s">
        <v>118</v>
      </c>
      <c r="G83" s="83">
        <f>INDEX('TPU MAR-24'!$D$9:$D$999,MATCH(B83,'TPU MAR-24'!$A$9:$A$999,0))</f>
        <v>46.06</v>
      </c>
      <c r="H83" s="180">
        <f t="shared" si="9"/>
        <v>736.96</v>
      </c>
    </row>
    <row r="84" spans="1:8" x14ac:dyDescent="0.25">
      <c r="A84" s="170"/>
      <c r="B84" s="171"/>
      <c r="C84" s="401" t="s">
        <v>149</v>
      </c>
      <c r="D84" s="402"/>
      <c r="E84" s="402"/>
      <c r="F84" s="402"/>
      <c r="G84" s="402"/>
      <c r="H84" s="403"/>
    </row>
    <row r="85" spans="1:8" x14ac:dyDescent="0.2">
      <c r="A85" s="176"/>
      <c r="B85" s="80" t="s">
        <v>123</v>
      </c>
      <c r="C85" s="177" t="s">
        <v>229</v>
      </c>
      <c r="D85" s="82">
        <v>1</v>
      </c>
      <c r="E85" s="82">
        <f>IF(AND($K$4&gt;0,$K$4&lt;=600),((4+2)*$K$8),IF(AND($K$4&gt;600,$K$4&lt;=900),((7+2)*$K$8),IF(AND($K$4&gt;900,$K$4&lt;=1300),((9+2)*$K$8),IF($K$4&gt;=1300,((10+2)*$K$8),""))))</f>
        <v>60</v>
      </c>
      <c r="F85" s="179" t="s">
        <v>118</v>
      </c>
      <c r="G85" s="83">
        <f>INDEX('TPU MAR-24'!$D$9:$D$999,MATCH(B85,'TPU MAR-24'!$A$9:$A$999,0))</f>
        <v>268.08</v>
      </c>
      <c r="H85" s="180">
        <f t="shared" ref="H85:H87" si="10">D85*E85*G85</f>
        <v>16084.8</v>
      </c>
    </row>
    <row r="86" spans="1:8" x14ac:dyDescent="0.2">
      <c r="A86" s="176"/>
      <c r="B86" s="84" t="s">
        <v>140</v>
      </c>
      <c r="C86" s="177" t="s">
        <v>221</v>
      </c>
      <c r="D86" s="179">
        <v>1</v>
      </c>
      <c r="E86" s="82">
        <f>IF(AND($K$4&gt;0,$K$4&lt;=600),((4+2)*$K$8),IF(AND($K$4&gt;600,$K$4&lt;=900),((7+2)*$K$8),IF(AND($K$4&gt;900,$K$4&lt;=1300),((9+2)*$K$8),IF($K$4&gt;=1300,((10+2)*$K$8),""))))</f>
        <v>60</v>
      </c>
      <c r="F86" s="179" t="s">
        <v>118</v>
      </c>
      <c r="G86" s="83">
        <f>INDEX('TPU MAR-24'!$D$9:$D$999,MATCH(B86,'TPU MAR-24'!$A$9:$A$999,0))</f>
        <v>213.54</v>
      </c>
      <c r="H86" s="180">
        <f t="shared" si="10"/>
        <v>12812.4</v>
      </c>
    </row>
    <row r="87" spans="1:8" x14ac:dyDescent="0.2">
      <c r="A87" s="176"/>
      <c r="B87" s="84" t="s">
        <v>153</v>
      </c>
      <c r="C87" s="177" t="s">
        <v>154</v>
      </c>
      <c r="D87" s="179">
        <v>1</v>
      </c>
      <c r="E87" s="82">
        <f>IF(AND($K$4&gt;0,$K$4&lt;=600),((4)*$K$8),IF(AND($K$4&gt;600,$K$4&lt;=900),((7)*$K$8),IF(AND($K$4&gt;900,$K$4&lt;=1300),((9)*$K$8),IF($K$4&gt;=1300,((10)*$K$8),""))))</f>
        <v>40</v>
      </c>
      <c r="F87" s="179" t="s">
        <v>118</v>
      </c>
      <c r="G87" s="83">
        <f>INDEX('TPU MAR-24'!$D$9:$D$999,MATCH(B87,'TPU MAR-24'!$A$9:$A$999,0))</f>
        <v>25.5</v>
      </c>
      <c r="H87" s="180">
        <f t="shared" si="10"/>
        <v>1020</v>
      </c>
    </row>
    <row r="88" spans="1:8" x14ac:dyDescent="0.25">
      <c r="A88" s="170"/>
      <c r="B88" s="171"/>
      <c r="C88" s="404" t="s">
        <v>179</v>
      </c>
      <c r="D88" s="404"/>
      <c r="E88" s="404"/>
      <c r="F88" s="404"/>
      <c r="G88" s="404"/>
      <c r="H88" s="182">
        <f>SUM(H76:H87)</f>
        <v>57969.04</v>
      </c>
    </row>
    <row r="89" spans="1:8" x14ac:dyDescent="0.25">
      <c r="A89" s="170"/>
      <c r="B89" s="171"/>
      <c r="C89" s="395" t="s">
        <v>158</v>
      </c>
      <c r="D89" s="395"/>
      <c r="E89" s="395"/>
      <c r="F89" s="395"/>
      <c r="G89" s="395"/>
      <c r="H89" s="395"/>
    </row>
    <row r="90" spans="1:8" x14ac:dyDescent="0.2">
      <c r="A90" s="170"/>
      <c r="B90" s="171"/>
      <c r="C90" s="177" t="s">
        <v>550</v>
      </c>
      <c r="D90" s="179">
        <f>$D$15</f>
        <v>1</v>
      </c>
      <c r="E90" s="82">
        <f>IF(AND($K$4&gt;0,$K$4&lt;=600),((4+2)),IF(AND($K$4&gt;600,$K$4&lt;=900),((7+2)),IF(AND($K$4&gt;900,$K$4&lt;=1300),((9+2)),IF($K$4&gt;=1300,((10+2)),""))))</f>
        <v>6</v>
      </c>
      <c r="F90" s="179" t="s">
        <v>161</v>
      </c>
      <c r="G90" s="83">
        <f>'TPU MAR-24'!$C$52</f>
        <v>318.24</v>
      </c>
      <c r="H90" s="180">
        <f t="shared" ref="H90:H94" si="11">D90*E90*G90</f>
        <v>1909.44</v>
      </c>
    </row>
    <row r="91" spans="1:8" x14ac:dyDescent="0.2">
      <c r="A91" s="170"/>
      <c r="B91" s="171"/>
      <c r="C91" s="177" t="s">
        <v>160</v>
      </c>
      <c r="D91" s="179">
        <f>$D$16</f>
        <v>1</v>
      </c>
      <c r="E91" s="82">
        <f>IF(AND($K$4&gt;0,$K$4&lt;=600),((4+2)),IF(AND($K$4&gt;600,$K$4&lt;=900),((7+2)),IF(AND($K$4&gt;900,$K$4&lt;=1300),((9+2)),IF($K$4&gt;=1300,((10+2)),""))))</f>
        <v>6</v>
      </c>
      <c r="F91" s="179" t="s">
        <v>161</v>
      </c>
      <c r="G91" s="83">
        <f>'TPU MAR-24'!$C$52</f>
        <v>318.24</v>
      </c>
      <c r="H91" s="180">
        <f t="shared" si="11"/>
        <v>1909.44</v>
      </c>
    </row>
    <row r="92" spans="1:8" x14ac:dyDescent="0.2">
      <c r="A92" s="170"/>
      <c r="B92" s="171"/>
      <c r="C92" s="177" t="s">
        <v>244</v>
      </c>
      <c r="D92" s="179">
        <f>$D$17</f>
        <v>3</v>
      </c>
      <c r="E92" s="82">
        <f>IF(AND($K$4&gt;0,$K$4&lt;=600),((4)),IF(AND($K$4&gt;600,$K$4&lt;=900),((7)),IF(AND($K$4&gt;900,$K$4&lt;=1300),((9)),IF($K$4&gt;=1300,((10)),""))))</f>
        <v>4</v>
      </c>
      <c r="F92" s="179" t="s">
        <v>161</v>
      </c>
      <c r="G92" s="83">
        <f>'TPU MAR-24'!$C$53</f>
        <v>159.12</v>
      </c>
      <c r="H92" s="180">
        <f t="shared" si="11"/>
        <v>1909.44</v>
      </c>
    </row>
    <row r="93" spans="1:8" x14ac:dyDescent="0.25">
      <c r="C93" s="177" t="s">
        <v>167</v>
      </c>
      <c r="D93" s="179">
        <v>1</v>
      </c>
      <c r="E93" s="179">
        <f>$K$14</f>
        <v>2</v>
      </c>
      <c r="F93" s="179" t="s">
        <v>168</v>
      </c>
      <c r="G93" s="93">
        <v>1500</v>
      </c>
      <c r="H93" s="180">
        <f t="shared" si="11"/>
        <v>3000</v>
      </c>
    </row>
    <row r="94" spans="1:8" x14ac:dyDescent="0.2">
      <c r="A94" s="170"/>
      <c r="B94" s="171"/>
      <c r="C94" s="177" t="s">
        <v>170</v>
      </c>
      <c r="D94" s="179">
        <f>D87</f>
        <v>1</v>
      </c>
      <c r="E94" s="82">
        <f>E92</f>
        <v>4</v>
      </c>
      <c r="F94" s="179" t="s">
        <v>161</v>
      </c>
      <c r="G94" s="95">
        <f>'TPU MAR-24'!$D$42</f>
        <v>193.64</v>
      </c>
      <c r="H94" s="180">
        <f t="shared" si="11"/>
        <v>774.56</v>
      </c>
    </row>
    <row r="95" spans="1:8" x14ac:dyDescent="0.25">
      <c r="C95" s="177" t="s">
        <v>217</v>
      </c>
      <c r="D95" s="179">
        <f>SUM(D87)</f>
        <v>1</v>
      </c>
      <c r="E95" s="184">
        <f>$K$5</f>
        <v>280</v>
      </c>
      <c r="F95" s="179" t="s">
        <v>173</v>
      </c>
      <c r="G95" s="95">
        <f>'TPU MAR-24'!$D$40</f>
        <v>1.29</v>
      </c>
      <c r="H95" s="180">
        <f>D95*E95*G95</f>
        <v>361.2</v>
      </c>
    </row>
    <row r="96" spans="1:8" x14ac:dyDescent="0.25">
      <c r="A96" s="170"/>
      <c r="B96" s="171"/>
      <c r="C96" s="392" t="s">
        <v>179</v>
      </c>
      <c r="D96" s="393"/>
      <c r="E96" s="393"/>
      <c r="F96" s="393"/>
      <c r="G96" s="394"/>
      <c r="H96" s="182">
        <f>SUM(H90:H95)</f>
        <v>9864.08</v>
      </c>
    </row>
    <row r="97" spans="1:8" x14ac:dyDescent="0.25">
      <c r="A97" s="170"/>
      <c r="B97" s="171"/>
      <c r="C97" s="396" t="s">
        <v>177</v>
      </c>
      <c r="D97" s="397"/>
      <c r="E97" s="397"/>
      <c r="F97" s="397"/>
      <c r="G97" s="397"/>
      <c r="H97" s="398"/>
    </row>
    <row r="98" spans="1:8" x14ac:dyDescent="0.25">
      <c r="A98" s="170"/>
      <c r="B98" s="171"/>
      <c r="C98" s="392" t="s">
        <v>179</v>
      </c>
      <c r="D98" s="393"/>
      <c r="E98" s="393"/>
      <c r="F98" s="393"/>
      <c r="G98" s="394"/>
      <c r="H98" s="182">
        <f>H88+H96</f>
        <v>67833.119999999995</v>
      </c>
    </row>
    <row r="99" spans="1:8" x14ac:dyDescent="0.25">
      <c r="A99" s="170"/>
      <c r="B99" s="171"/>
      <c r="C99" s="392" t="s">
        <v>267</v>
      </c>
      <c r="D99" s="393"/>
      <c r="E99" s="393"/>
      <c r="F99" s="393"/>
      <c r="G99" s="394"/>
      <c r="H99" s="182">
        <f>H98</f>
        <v>67833.119999999995</v>
      </c>
    </row>
    <row r="100" spans="1:8" x14ac:dyDescent="0.25">
      <c r="A100" s="164"/>
      <c r="B100" s="165"/>
      <c r="C100" s="164"/>
      <c r="D100" s="164"/>
      <c r="E100" s="164"/>
      <c r="F100" s="164"/>
      <c r="G100" s="164"/>
      <c r="H100" s="164"/>
    </row>
    <row r="101" spans="1:8" x14ac:dyDescent="0.25">
      <c r="A101" s="164"/>
      <c r="B101" s="165"/>
      <c r="C101" s="164"/>
      <c r="D101" s="164"/>
      <c r="E101" s="164"/>
      <c r="F101" s="164"/>
      <c r="G101" s="164"/>
      <c r="H101" s="164"/>
    </row>
    <row r="102" spans="1:8" x14ac:dyDescent="0.25">
      <c r="A102" s="166" t="str">
        <f>CAPEX!$A$53</f>
        <v>7.3</v>
      </c>
      <c r="B102" s="167"/>
      <c r="C102" s="399" t="str">
        <f>CAPEX!$B$53</f>
        <v>Elaboração de Estudo de Análise de Risco</v>
      </c>
      <c r="D102" s="400"/>
      <c r="E102" s="400"/>
      <c r="F102" s="400"/>
      <c r="G102" s="400"/>
      <c r="H102" s="168">
        <f>H123</f>
        <v>183449.91999999998</v>
      </c>
    </row>
    <row r="103" spans="1:8" ht="24" x14ac:dyDescent="0.25">
      <c r="A103" s="170"/>
      <c r="B103" s="171"/>
      <c r="C103" s="172" t="s">
        <v>109</v>
      </c>
      <c r="D103" s="172" t="s">
        <v>28</v>
      </c>
      <c r="E103" s="172" t="s">
        <v>110</v>
      </c>
      <c r="F103" s="172" t="s">
        <v>111</v>
      </c>
      <c r="G103" s="172" t="s">
        <v>112</v>
      </c>
      <c r="H103" s="174" t="s">
        <v>113</v>
      </c>
    </row>
    <row r="104" spans="1:8" x14ac:dyDescent="0.25">
      <c r="A104" s="170"/>
      <c r="B104" s="171"/>
      <c r="C104" s="395" t="s">
        <v>190</v>
      </c>
      <c r="D104" s="395"/>
      <c r="E104" s="395"/>
      <c r="F104" s="395"/>
      <c r="G104" s="395"/>
      <c r="H104" s="395"/>
    </row>
    <row r="105" spans="1:8" x14ac:dyDescent="0.2">
      <c r="A105" s="176"/>
      <c r="B105" s="80" t="s">
        <v>116</v>
      </c>
      <c r="C105" s="177" t="s">
        <v>117</v>
      </c>
      <c r="D105" s="179">
        <v>1</v>
      </c>
      <c r="E105" s="179">
        <f>($K$7)*($K$9/5)*($K$10)*$K$54</f>
        <v>32</v>
      </c>
      <c r="F105" s="179" t="s">
        <v>118</v>
      </c>
      <c r="G105" s="83">
        <f>INDEX('TPU MAR-24'!$D$9:$D$999,MATCH(B105,'TPU MAR-24'!$A$9:$A$999,0))</f>
        <v>391.54</v>
      </c>
      <c r="H105" s="180">
        <f>D105*E105*G105</f>
        <v>12529.28</v>
      </c>
    </row>
    <row r="106" spans="1:8" x14ac:dyDescent="0.2">
      <c r="A106" s="181"/>
      <c r="B106" s="80" t="s">
        <v>123</v>
      </c>
      <c r="C106" s="177" t="s">
        <v>229</v>
      </c>
      <c r="D106" s="179">
        <v>1</v>
      </c>
      <c r="E106" s="82">
        <f>$K$55*$K$7</f>
        <v>160</v>
      </c>
      <c r="F106" s="179" t="s">
        <v>118</v>
      </c>
      <c r="G106" s="83">
        <f>INDEX('TPU MAR-24'!$D$9:$D$999,MATCH(B106,'TPU MAR-24'!$A$9:$A$999,0))</f>
        <v>268.08</v>
      </c>
      <c r="H106" s="180">
        <f t="shared" ref="H106:H109" si="12">D106*E106*G106</f>
        <v>42892.799999999996</v>
      </c>
    </row>
    <row r="107" spans="1:8" x14ac:dyDescent="0.2">
      <c r="A107" s="176"/>
      <c r="B107" s="84" t="s">
        <v>140</v>
      </c>
      <c r="C107" s="177" t="s">
        <v>221</v>
      </c>
      <c r="D107" s="82">
        <v>2</v>
      </c>
      <c r="E107" s="82">
        <f>$K$55*$K$7</f>
        <v>160</v>
      </c>
      <c r="F107" s="179" t="s">
        <v>118</v>
      </c>
      <c r="G107" s="83">
        <f>INDEX('TPU MAR-24'!$D$9:$D$999,MATCH(B107,'TPU MAR-24'!$A$9:$A$999,0))</f>
        <v>213.54</v>
      </c>
      <c r="H107" s="180">
        <f t="shared" si="12"/>
        <v>68332.800000000003</v>
      </c>
    </row>
    <row r="108" spans="1:8" x14ac:dyDescent="0.2">
      <c r="A108" s="176"/>
      <c r="B108" s="84" t="s">
        <v>143</v>
      </c>
      <c r="C108" s="177" t="s">
        <v>200</v>
      </c>
      <c r="D108" s="179">
        <v>1</v>
      </c>
      <c r="E108" s="82">
        <f>($K$55/2)*$K$7</f>
        <v>80</v>
      </c>
      <c r="F108" s="179" t="s">
        <v>118</v>
      </c>
      <c r="G108" s="83">
        <f>INDEX('TPU MAR-24'!$D$9:$D$999,MATCH(B108,'TPU MAR-24'!$A$9:$A$999,0))</f>
        <v>94.41</v>
      </c>
      <c r="H108" s="180">
        <f t="shared" si="12"/>
        <v>7552.7999999999993</v>
      </c>
    </row>
    <row r="109" spans="1:8" x14ac:dyDescent="0.2">
      <c r="A109" s="176"/>
      <c r="B109" s="84" t="s">
        <v>146</v>
      </c>
      <c r="C109" s="177" t="s">
        <v>147</v>
      </c>
      <c r="D109" s="179">
        <v>1</v>
      </c>
      <c r="E109" s="179">
        <f>($K$7)*($K$9/5)*($K$10)*$K$54</f>
        <v>32</v>
      </c>
      <c r="F109" s="179" t="s">
        <v>118</v>
      </c>
      <c r="G109" s="83">
        <f>INDEX('TPU MAR-24'!$D$9:$D$999,MATCH(B109,'TPU MAR-24'!$A$9:$A$999,0))</f>
        <v>46.06</v>
      </c>
      <c r="H109" s="180">
        <f t="shared" si="12"/>
        <v>1473.92</v>
      </c>
    </row>
    <row r="110" spans="1:8" x14ac:dyDescent="0.25">
      <c r="A110" s="170"/>
      <c r="B110" s="171"/>
      <c r="C110" s="401" t="s">
        <v>149</v>
      </c>
      <c r="D110" s="402"/>
      <c r="E110" s="402"/>
      <c r="F110" s="402"/>
      <c r="G110" s="402"/>
      <c r="H110" s="403"/>
    </row>
    <row r="111" spans="1:8" x14ac:dyDescent="0.2">
      <c r="A111" s="176"/>
      <c r="B111" s="84" t="s">
        <v>140</v>
      </c>
      <c r="C111" s="177" t="s">
        <v>221</v>
      </c>
      <c r="D111" s="179">
        <v>2</v>
      </c>
      <c r="E111" s="82">
        <f>($K$56*$K$8)+($K$11*$K$8)</f>
        <v>90</v>
      </c>
      <c r="F111" s="179" t="s">
        <v>118</v>
      </c>
      <c r="G111" s="83">
        <f>INDEX('TPU MAR-24'!$D$9:$D$999,MATCH(B111,'TPU MAR-24'!$A$9:$A$999,0))</f>
        <v>213.54</v>
      </c>
      <c r="H111" s="180">
        <f t="shared" ref="H111:H112" si="13">D111*E111*G111</f>
        <v>38437.199999999997</v>
      </c>
    </row>
    <row r="112" spans="1:8" x14ac:dyDescent="0.2">
      <c r="A112" s="176"/>
      <c r="B112" s="84" t="s">
        <v>153</v>
      </c>
      <c r="C112" s="177" t="s">
        <v>154</v>
      </c>
      <c r="D112" s="179">
        <v>1</v>
      </c>
      <c r="E112" s="82">
        <f>($K$56*$K$8)</f>
        <v>70</v>
      </c>
      <c r="F112" s="179" t="s">
        <v>118</v>
      </c>
      <c r="G112" s="83">
        <f>INDEX('TPU MAR-24'!$D$9:$D$999,MATCH(B112,'TPU MAR-24'!$A$9:$A$999,0))</f>
        <v>25.5</v>
      </c>
      <c r="H112" s="180">
        <f t="shared" si="13"/>
        <v>1785</v>
      </c>
    </row>
    <row r="113" spans="1:8" x14ac:dyDescent="0.25">
      <c r="A113" s="170"/>
      <c r="B113" s="171"/>
      <c r="C113" s="404" t="s">
        <v>179</v>
      </c>
      <c r="D113" s="404"/>
      <c r="E113" s="404"/>
      <c r="F113" s="404"/>
      <c r="G113" s="404"/>
      <c r="H113" s="182">
        <f>SUM(H105:H112)</f>
        <v>173003.8</v>
      </c>
    </row>
    <row r="114" spans="1:8" x14ac:dyDescent="0.25">
      <c r="A114" s="170"/>
      <c r="B114" s="171"/>
      <c r="C114" s="395" t="s">
        <v>158</v>
      </c>
      <c r="D114" s="395"/>
      <c r="E114" s="395"/>
      <c r="F114" s="395"/>
      <c r="G114" s="395"/>
      <c r="H114" s="395"/>
    </row>
    <row r="115" spans="1:8" x14ac:dyDescent="0.2">
      <c r="A115" s="170"/>
      <c r="B115" s="171"/>
      <c r="C115" s="177" t="s">
        <v>160</v>
      </c>
      <c r="D115" s="179">
        <f>D111</f>
        <v>2</v>
      </c>
      <c r="E115" s="82">
        <f>($K$56)+($K$11)</f>
        <v>9</v>
      </c>
      <c r="F115" s="179" t="s">
        <v>161</v>
      </c>
      <c r="G115" s="83">
        <f>'TPU MAR-24'!$C$52</f>
        <v>318.24</v>
      </c>
      <c r="H115" s="180">
        <f t="shared" ref="H115:H118" si="14">D115*E115*G115</f>
        <v>5728.32</v>
      </c>
    </row>
    <row r="116" spans="1:8" x14ac:dyDescent="0.2">
      <c r="A116" s="170"/>
      <c r="B116" s="171"/>
      <c r="C116" s="177" t="s">
        <v>244</v>
      </c>
      <c r="D116" s="179">
        <f>D112</f>
        <v>1</v>
      </c>
      <c r="E116" s="82">
        <f>($K$56)</f>
        <v>7</v>
      </c>
      <c r="F116" s="179" t="s">
        <v>161</v>
      </c>
      <c r="G116" s="83">
        <f>'TPU MAR-24'!$C$53</f>
        <v>159.12</v>
      </c>
      <c r="H116" s="180">
        <f t="shared" si="14"/>
        <v>1113.8400000000001</v>
      </c>
    </row>
    <row r="117" spans="1:8" x14ac:dyDescent="0.25">
      <c r="C117" s="177" t="s">
        <v>167</v>
      </c>
      <c r="D117" s="179">
        <v>1</v>
      </c>
      <c r="E117" s="179">
        <f>$K$54</f>
        <v>1</v>
      </c>
      <c r="F117" s="179" t="s">
        <v>168</v>
      </c>
      <c r="G117" s="93">
        <v>1500</v>
      </c>
      <c r="H117" s="180">
        <f t="shared" si="14"/>
        <v>1500</v>
      </c>
    </row>
    <row r="118" spans="1:8" x14ac:dyDescent="0.2">
      <c r="A118" s="170"/>
      <c r="B118" s="171"/>
      <c r="C118" s="177" t="s">
        <v>170</v>
      </c>
      <c r="D118" s="179">
        <f>D112</f>
        <v>1</v>
      </c>
      <c r="E118" s="82">
        <f>E115</f>
        <v>9</v>
      </c>
      <c r="F118" s="179" t="s">
        <v>161</v>
      </c>
      <c r="G118" s="95">
        <f>'TPU MAR-24'!$D$42</f>
        <v>193.64</v>
      </c>
      <c r="H118" s="180">
        <f t="shared" si="14"/>
        <v>1742.7599999999998</v>
      </c>
    </row>
    <row r="119" spans="1:8" x14ac:dyDescent="0.25">
      <c r="C119" s="177" t="s">
        <v>217</v>
      </c>
      <c r="D119" s="179">
        <f>SUM(D112)</f>
        <v>1</v>
      </c>
      <c r="E119" s="184">
        <f>$K$5</f>
        <v>280</v>
      </c>
      <c r="F119" s="179" t="s">
        <v>173</v>
      </c>
      <c r="G119" s="95">
        <f>'TPU MAR-24'!$D$40</f>
        <v>1.29</v>
      </c>
      <c r="H119" s="180">
        <f>D119*E119*G119</f>
        <v>361.2</v>
      </c>
    </row>
    <row r="120" spans="1:8" x14ac:dyDescent="0.25">
      <c r="A120" s="170"/>
      <c r="B120" s="171"/>
      <c r="C120" s="392" t="s">
        <v>179</v>
      </c>
      <c r="D120" s="393"/>
      <c r="E120" s="393"/>
      <c r="F120" s="393"/>
      <c r="G120" s="394"/>
      <c r="H120" s="182">
        <f>SUM(H115:H119)</f>
        <v>10446.120000000001</v>
      </c>
    </row>
    <row r="121" spans="1:8" x14ac:dyDescent="0.25">
      <c r="A121" s="170"/>
      <c r="B121" s="171"/>
      <c r="C121" s="396" t="s">
        <v>177</v>
      </c>
      <c r="D121" s="397"/>
      <c r="E121" s="397"/>
      <c r="F121" s="397"/>
      <c r="G121" s="397"/>
      <c r="H121" s="398"/>
    </row>
    <row r="122" spans="1:8" ht="12.75" customHeight="1" x14ac:dyDescent="0.25">
      <c r="A122" s="170"/>
      <c r="B122" s="171"/>
      <c r="C122" s="392" t="s">
        <v>179</v>
      </c>
      <c r="D122" s="393"/>
      <c r="E122" s="393"/>
      <c r="F122" s="393"/>
      <c r="G122" s="394"/>
      <c r="H122" s="182">
        <f>H113+H120</f>
        <v>183449.91999999998</v>
      </c>
    </row>
    <row r="123" spans="1:8" x14ac:dyDescent="0.25">
      <c r="A123" s="170"/>
      <c r="B123" s="171"/>
      <c r="C123" s="392" t="s">
        <v>267</v>
      </c>
      <c r="D123" s="393"/>
      <c r="E123" s="393"/>
      <c r="F123" s="393"/>
      <c r="G123" s="394"/>
      <c r="H123" s="182">
        <f>H122</f>
        <v>183449.91999999998</v>
      </c>
    </row>
    <row r="124" spans="1:8" x14ac:dyDescent="0.25">
      <c r="A124" s="164"/>
      <c r="B124" s="165"/>
      <c r="C124" s="164"/>
      <c r="D124" s="164"/>
      <c r="E124" s="164"/>
      <c r="F124" s="164"/>
      <c r="G124" s="164"/>
      <c r="H124" s="164"/>
    </row>
    <row r="125" spans="1:8" x14ac:dyDescent="0.25">
      <c r="A125" s="164"/>
      <c r="B125" s="165"/>
      <c r="C125" s="164"/>
      <c r="D125" s="164"/>
      <c r="E125" s="164"/>
      <c r="F125" s="164"/>
      <c r="G125" s="164"/>
      <c r="H125" s="164"/>
    </row>
    <row r="126" spans="1:8" x14ac:dyDescent="0.25">
      <c r="A126" s="166" t="str">
        <f>CAPEX!$A$54</f>
        <v>7.4</v>
      </c>
      <c r="B126" s="167"/>
      <c r="C126" s="399" t="str">
        <f>CAPEX!$B$54</f>
        <v>Elaboração e Atualização do Inventário de Gases de Efeito Estufa - GEE</v>
      </c>
      <c r="D126" s="400"/>
      <c r="E126" s="400"/>
      <c r="F126" s="400"/>
      <c r="G126" s="400"/>
      <c r="H126" s="168">
        <f>$H$167</f>
        <v>1334901.0225</v>
      </c>
    </row>
    <row r="127" spans="1:8" ht="24" x14ac:dyDescent="0.25">
      <c r="A127" s="170"/>
      <c r="B127" s="171"/>
      <c r="C127" s="172" t="s">
        <v>109</v>
      </c>
      <c r="D127" s="172" t="s">
        <v>28</v>
      </c>
      <c r="E127" s="172" t="s">
        <v>110</v>
      </c>
      <c r="F127" s="172" t="s">
        <v>111</v>
      </c>
      <c r="G127" s="172" t="s">
        <v>112</v>
      </c>
      <c r="H127" s="174" t="s">
        <v>113</v>
      </c>
    </row>
    <row r="128" spans="1:8" x14ac:dyDescent="0.25">
      <c r="A128" s="170"/>
      <c r="B128" s="171"/>
      <c r="C128" s="395" t="s">
        <v>551</v>
      </c>
      <c r="D128" s="395"/>
      <c r="E128" s="395"/>
      <c r="F128" s="395"/>
      <c r="G128" s="395"/>
      <c r="H128" s="395"/>
    </row>
    <row r="129" spans="1:8" x14ac:dyDescent="0.2">
      <c r="A129" s="176"/>
      <c r="B129" s="80" t="s">
        <v>116</v>
      </c>
      <c r="C129" s="177" t="s">
        <v>117</v>
      </c>
      <c r="D129" s="179">
        <v>1</v>
      </c>
      <c r="E129" s="179">
        <f>(($K$9/5)*($K$7/8)*$K$10*$K$29)</f>
        <v>8</v>
      </c>
      <c r="F129" s="179" t="s">
        <v>118</v>
      </c>
      <c r="G129" s="83">
        <f>INDEX('TPU MAR-24'!$D$9:$D$999,MATCH(B129,'TPU MAR-24'!$A$9:$A$999,0))</f>
        <v>391.54</v>
      </c>
      <c r="H129" s="180">
        <f>D129*E129*G129</f>
        <v>3132.32</v>
      </c>
    </row>
    <row r="130" spans="1:8" x14ac:dyDescent="0.2">
      <c r="A130" s="176"/>
      <c r="B130" s="80" t="s">
        <v>123</v>
      </c>
      <c r="C130" s="177" t="s">
        <v>552</v>
      </c>
      <c r="D130" s="179">
        <v>1</v>
      </c>
      <c r="E130" s="179">
        <f>(($K$9/5)*($K$7)*$K$10*$K$29)</f>
        <v>64</v>
      </c>
      <c r="F130" s="179" t="s">
        <v>118</v>
      </c>
      <c r="G130" s="83">
        <f>INDEX('TPU MAR-24'!$D$9:$D$999,MATCH(B130,'TPU MAR-24'!$A$9:$A$999,0))</f>
        <v>268.08</v>
      </c>
      <c r="H130" s="180">
        <f t="shared" ref="H130:H132" si="15">D130*E130*G130</f>
        <v>17157.12</v>
      </c>
    </row>
    <row r="131" spans="1:8" x14ac:dyDescent="0.2">
      <c r="A131" s="176"/>
      <c r="B131" s="84" t="s">
        <v>140</v>
      </c>
      <c r="C131" s="177" t="s">
        <v>553</v>
      </c>
      <c r="D131" s="179">
        <v>1</v>
      </c>
      <c r="E131" s="179">
        <f>(($K$9)*($K$7)*($K$10/2)*$K$29)</f>
        <v>160</v>
      </c>
      <c r="F131" s="179" t="s">
        <v>118</v>
      </c>
      <c r="G131" s="83">
        <f>INDEX('TPU MAR-24'!$D$9:$D$999,MATCH(B131,'TPU MAR-24'!$A$9:$A$999,0))</f>
        <v>213.54</v>
      </c>
      <c r="H131" s="180">
        <f t="shared" si="15"/>
        <v>34166.400000000001</v>
      </c>
    </row>
    <row r="132" spans="1:8" x14ac:dyDescent="0.2">
      <c r="A132" s="176"/>
      <c r="B132" s="84" t="s">
        <v>146</v>
      </c>
      <c r="C132" s="177" t="s">
        <v>147</v>
      </c>
      <c r="D132" s="179">
        <v>1</v>
      </c>
      <c r="E132" s="179">
        <f>(($K$9/5)*($K$7/8)*$K$10*$K$29)</f>
        <v>8</v>
      </c>
      <c r="F132" s="179" t="s">
        <v>118</v>
      </c>
      <c r="G132" s="83">
        <f>INDEX('TPU MAR-24'!$D$9:$D$999,MATCH(B132,'TPU MAR-24'!$A$9:$A$999,0))</f>
        <v>46.06</v>
      </c>
      <c r="H132" s="180">
        <f t="shared" si="15"/>
        <v>368.48</v>
      </c>
    </row>
    <row r="133" spans="1:8" x14ac:dyDescent="0.25">
      <c r="A133" s="170"/>
      <c r="B133" s="171"/>
      <c r="C133" s="401" t="s">
        <v>554</v>
      </c>
      <c r="D133" s="402"/>
      <c r="E133" s="402"/>
      <c r="F133" s="402"/>
      <c r="G133" s="402"/>
      <c r="H133" s="403"/>
    </row>
    <row r="134" spans="1:8" x14ac:dyDescent="0.2">
      <c r="A134" s="176"/>
      <c r="B134" s="84" t="s">
        <v>140</v>
      </c>
      <c r="C134" s="177" t="s">
        <v>553</v>
      </c>
      <c r="D134" s="179">
        <v>1</v>
      </c>
      <c r="E134" s="179">
        <f>($K$30+$K$11)*$K$8</f>
        <v>70</v>
      </c>
      <c r="F134" s="179" t="s">
        <v>118</v>
      </c>
      <c r="G134" s="83">
        <f>INDEX('TPU MAR-24'!$D$9:$D$999,MATCH(B134,'TPU MAR-24'!$A$9:$A$999,0))</f>
        <v>213.54</v>
      </c>
      <c r="H134" s="180">
        <f t="shared" ref="H134:H135" si="16">D134*E134*G134</f>
        <v>14947.8</v>
      </c>
    </row>
    <row r="135" spans="1:8" x14ac:dyDescent="0.2">
      <c r="A135" s="176"/>
      <c r="B135" s="84" t="s">
        <v>153</v>
      </c>
      <c r="C135" s="177" t="s">
        <v>154</v>
      </c>
      <c r="D135" s="179">
        <v>1</v>
      </c>
      <c r="E135" s="179">
        <f>($K$30)*$K$8</f>
        <v>50</v>
      </c>
      <c r="F135" s="179" t="s">
        <v>118</v>
      </c>
      <c r="G135" s="83">
        <f>INDEX('TPU MAR-24'!$D$9:$D$999,MATCH(B135,'TPU MAR-24'!$A$9:$A$999,0))</f>
        <v>25.5</v>
      </c>
      <c r="H135" s="180">
        <f t="shared" si="16"/>
        <v>1275</v>
      </c>
    </row>
    <row r="136" spans="1:8" x14ac:dyDescent="0.25">
      <c r="A136" s="170"/>
      <c r="B136" s="171"/>
      <c r="C136" s="404" t="s">
        <v>179</v>
      </c>
      <c r="D136" s="404"/>
      <c r="E136" s="404"/>
      <c r="F136" s="404"/>
      <c r="G136" s="404"/>
      <c r="H136" s="182">
        <f>SUM(H129:H135)</f>
        <v>71047.12</v>
      </c>
    </row>
    <row r="137" spans="1:8" x14ac:dyDescent="0.25">
      <c r="A137" s="170"/>
      <c r="B137" s="171"/>
      <c r="C137" s="395" t="s">
        <v>158</v>
      </c>
      <c r="D137" s="395"/>
      <c r="E137" s="395"/>
      <c r="F137" s="395"/>
      <c r="G137" s="395"/>
      <c r="H137" s="395"/>
    </row>
    <row r="138" spans="1:8" x14ac:dyDescent="0.2">
      <c r="A138" s="170"/>
      <c r="B138" s="171"/>
      <c r="C138" s="177" t="s">
        <v>555</v>
      </c>
      <c r="D138" s="179">
        <f>D134</f>
        <v>1</v>
      </c>
      <c r="E138" s="179">
        <f>($K$30+$K$11)</f>
        <v>7</v>
      </c>
      <c r="F138" s="179" t="s">
        <v>161</v>
      </c>
      <c r="G138" s="83">
        <f>'TPU MAR-24'!$C$52</f>
        <v>318.24</v>
      </c>
      <c r="H138" s="180">
        <f t="shared" ref="H138:H141" si="17">D138*E138*G138</f>
        <v>2227.6800000000003</v>
      </c>
    </row>
    <row r="139" spans="1:8" x14ac:dyDescent="0.2">
      <c r="A139" s="170"/>
      <c r="B139" s="171"/>
      <c r="C139" s="177" t="s">
        <v>244</v>
      </c>
      <c r="D139" s="179">
        <f>D135</f>
        <v>1</v>
      </c>
      <c r="E139" s="179">
        <f>($K$30)</f>
        <v>5</v>
      </c>
      <c r="F139" s="179" t="s">
        <v>161</v>
      </c>
      <c r="G139" s="83">
        <f>'TPU MAR-24'!$C$53</f>
        <v>159.12</v>
      </c>
      <c r="H139" s="180">
        <f t="shared" si="17"/>
        <v>795.6</v>
      </c>
    </row>
    <row r="140" spans="1:8" x14ac:dyDescent="0.2">
      <c r="C140" s="81" t="s">
        <v>167</v>
      </c>
      <c r="D140" s="26">
        <v>1</v>
      </c>
      <c r="E140" s="82">
        <v>1</v>
      </c>
      <c r="F140" s="82" t="s">
        <v>168</v>
      </c>
      <c r="G140" s="93">
        <v>1500</v>
      </c>
      <c r="H140" s="180">
        <f t="shared" si="17"/>
        <v>1500</v>
      </c>
    </row>
    <row r="141" spans="1:8" x14ac:dyDescent="0.25">
      <c r="A141" s="170"/>
      <c r="B141" s="171"/>
      <c r="C141" s="177" t="s">
        <v>228</v>
      </c>
      <c r="D141" s="179">
        <f>D139</f>
        <v>1</v>
      </c>
      <c r="E141" s="179">
        <f>E139</f>
        <v>5</v>
      </c>
      <c r="F141" s="179" t="s">
        <v>161</v>
      </c>
      <c r="G141" s="95">
        <f>'TPU MAR-24'!$D$42</f>
        <v>193.64</v>
      </c>
      <c r="H141" s="180">
        <f t="shared" si="17"/>
        <v>968.19999999999993</v>
      </c>
    </row>
    <row r="142" spans="1:8" x14ac:dyDescent="0.25">
      <c r="C142" s="177" t="s">
        <v>217</v>
      </c>
      <c r="D142" s="179">
        <f>SUM(D135)</f>
        <v>1</v>
      </c>
      <c r="E142" s="184">
        <f>$K$5</f>
        <v>280</v>
      </c>
      <c r="F142" s="179" t="s">
        <v>173</v>
      </c>
      <c r="G142" s="95">
        <f>'TPU MAR-24'!$D$40</f>
        <v>1.29</v>
      </c>
      <c r="H142" s="180">
        <f>D142*E142*G142</f>
        <v>361.2</v>
      </c>
    </row>
    <row r="143" spans="1:8" x14ac:dyDescent="0.25">
      <c r="A143" s="170"/>
      <c r="B143" s="171"/>
      <c r="C143" s="392" t="s">
        <v>179</v>
      </c>
      <c r="D143" s="393"/>
      <c r="E143" s="393"/>
      <c r="F143" s="393"/>
      <c r="G143" s="394"/>
      <c r="H143" s="182">
        <f>SUM(H138:H142)</f>
        <v>5852.68</v>
      </c>
    </row>
    <row r="144" spans="1:8" x14ac:dyDescent="0.25">
      <c r="A144" s="170"/>
      <c r="B144" s="171"/>
      <c r="C144" s="396" t="s">
        <v>177</v>
      </c>
      <c r="D144" s="397"/>
      <c r="E144" s="397"/>
      <c r="F144" s="397"/>
      <c r="G144" s="397"/>
      <c r="H144" s="398"/>
    </row>
    <row r="145" spans="1:8" x14ac:dyDescent="0.25">
      <c r="A145" s="170"/>
      <c r="B145" s="171"/>
      <c r="C145" s="392" t="s">
        <v>179</v>
      </c>
      <c r="D145" s="393"/>
      <c r="E145" s="393"/>
      <c r="F145" s="393"/>
      <c r="G145" s="394"/>
      <c r="H145" s="191">
        <f>H136+H143</f>
        <v>76899.799999999988</v>
      </c>
    </row>
    <row r="146" spans="1:8" x14ac:dyDescent="0.25">
      <c r="A146" s="185"/>
      <c r="B146" s="186"/>
      <c r="C146" s="392" t="s">
        <v>556</v>
      </c>
      <c r="D146" s="393"/>
      <c r="E146" s="393"/>
      <c r="F146" s="393"/>
      <c r="G146" s="394"/>
      <c r="H146" s="182">
        <f>H145</f>
        <v>76899.799999999988</v>
      </c>
    </row>
    <row r="147" spans="1:8" x14ac:dyDescent="0.25">
      <c r="A147" s="170"/>
      <c r="B147" s="171"/>
      <c r="C147" s="395" t="s">
        <v>557</v>
      </c>
      <c r="D147" s="395"/>
      <c r="E147" s="395"/>
      <c r="F147" s="395"/>
      <c r="G147" s="395"/>
      <c r="H147" s="395"/>
    </row>
    <row r="148" spans="1:8" x14ac:dyDescent="0.2">
      <c r="A148" s="176"/>
      <c r="B148" s="80" t="s">
        <v>116</v>
      </c>
      <c r="C148" s="177" t="s">
        <v>117</v>
      </c>
      <c r="D148" s="179">
        <v>1</v>
      </c>
      <c r="E148" s="179">
        <f>(($K$9/5)*($K$7/8)*$K$10*$K$31)</f>
        <v>4</v>
      </c>
      <c r="F148" s="179" t="s">
        <v>118</v>
      </c>
      <c r="G148" s="83">
        <f>INDEX('TPU MAR-24'!$D$9:$D$999,MATCH(B148,'TPU MAR-24'!$A$9:$A$999,0))</f>
        <v>391.54</v>
      </c>
      <c r="H148" s="180">
        <f>D148*E148*G148</f>
        <v>1566.16</v>
      </c>
    </row>
    <row r="149" spans="1:8" x14ac:dyDescent="0.2">
      <c r="A149" s="176"/>
      <c r="B149" s="80" t="s">
        <v>123</v>
      </c>
      <c r="C149" s="177" t="s">
        <v>552</v>
      </c>
      <c r="D149" s="179">
        <v>1</v>
      </c>
      <c r="E149" s="179">
        <f>(($K$9/5)*($K$7)*$K$10*$K$31)</f>
        <v>32</v>
      </c>
      <c r="F149" s="179" t="s">
        <v>118</v>
      </c>
      <c r="G149" s="83">
        <f>INDEX('TPU MAR-24'!$D$9:$D$999,MATCH(B149,'TPU MAR-24'!$A$9:$A$999,0))</f>
        <v>268.08</v>
      </c>
      <c r="H149" s="180">
        <f t="shared" ref="H149:H151" si="18">D149*E149*G149</f>
        <v>8578.56</v>
      </c>
    </row>
    <row r="150" spans="1:8" x14ac:dyDescent="0.2">
      <c r="A150" s="176"/>
      <c r="B150" s="84" t="s">
        <v>140</v>
      </c>
      <c r="C150" s="177" t="s">
        <v>553</v>
      </c>
      <c r="D150" s="179">
        <v>1</v>
      </c>
      <c r="E150" s="179">
        <f>(($K$9)*($K$7)*($K$10/2)*$K$31)</f>
        <v>80</v>
      </c>
      <c r="F150" s="179" t="s">
        <v>118</v>
      </c>
      <c r="G150" s="83">
        <f>INDEX('TPU MAR-24'!$D$9:$D$999,MATCH(B150,'TPU MAR-24'!$A$9:$A$999,0))</f>
        <v>213.54</v>
      </c>
      <c r="H150" s="180">
        <f t="shared" si="18"/>
        <v>17083.2</v>
      </c>
    </row>
    <row r="151" spans="1:8" x14ac:dyDescent="0.2">
      <c r="A151" s="176"/>
      <c r="B151" s="84" t="s">
        <v>146</v>
      </c>
      <c r="C151" s="177" t="s">
        <v>147</v>
      </c>
      <c r="D151" s="179">
        <v>1</v>
      </c>
      <c r="E151" s="179">
        <f>(($K$9/5)*($K$7/8)*$K$10*$K$31)</f>
        <v>4</v>
      </c>
      <c r="F151" s="179" t="s">
        <v>118</v>
      </c>
      <c r="G151" s="83">
        <f>INDEX('TPU MAR-24'!$D$9:$D$999,MATCH(B151,'TPU MAR-24'!$A$9:$A$999,0))</f>
        <v>46.06</v>
      </c>
      <c r="H151" s="180">
        <f t="shared" si="18"/>
        <v>184.24</v>
      </c>
    </row>
    <row r="152" spans="1:8" x14ac:dyDescent="0.25">
      <c r="A152" s="170"/>
      <c r="B152" s="171"/>
      <c r="C152" s="401" t="s">
        <v>558</v>
      </c>
      <c r="D152" s="402"/>
      <c r="E152" s="402"/>
      <c r="F152" s="402"/>
      <c r="G152" s="402"/>
      <c r="H152" s="403"/>
    </row>
    <row r="153" spans="1:8" x14ac:dyDescent="0.2">
      <c r="A153" s="176"/>
      <c r="B153" s="84" t="s">
        <v>140</v>
      </c>
      <c r="C153" s="177" t="s">
        <v>559</v>
      </c>
      <c r="D153" s="179">
        <v>1</v>
      </c>
      <c r="E153" s="179">
        <f>($K$32+$K$11)*$K$8</f>
        <v>50</v>
      </c>
      <c r="F153" s="179" t="s">
        <v>118</v>
      </c>
      <c r="G153" s="83">
        <f>INDEX('TPU MAR-24'!$D$9:$D$999,MATCH(B153,'TPU MAR-24'!$A$9:$A$999,0))</f>
        <v>213.54</v>
      </c>
      <c r="H153" s="180">
        <f t="shared" ref="H153:H154" si="19">D153*E153*G153</f>
        <v>10677</v>
      </c>
    </row>
    <row r="154" spans="1:8" x14ac:dyDescent="0.2">
      <c r="A154" s="176"/>
      <c r="B154" s="84" t="s">
        <v>153</v>
      </c>
      <c r="C154" s="177" t="s">
        <v>154</v>
      </c>
      <c r="D154" s="179">
        <v>1</v>
      </c>
      <c r="E154" s="179">
        <f>($K$32)*$K$8</f>
        <v>30</v>
      </c>
      <c r="F154" s="179" t="s">
        <v>118</v>
      </c>
      <c r="G154" s="83">
        <f>INDEX('TPU MAR-24'!$D$9:$D$999,MATCH(B154,'TPU MAR-24'!$A$9:$A$999,0))</f>
        <v>25.5</v>
      </c>
      <c r="H154" s="180">
        <f t="shared" si="19"/>
        <v>765</v>
      </c>
    </row>
    <row r="155" spans="1:8" x14ac:dyDescent="0.25">
      <c r="A155" s="170"/>
      <c r="B155" s="171"/>
      <c r="C155" s="404" t="s">
        <v>179</v>
      </c>
      <c r="D155" s="404"/>
      <c r="E155" s="404"/>
      <c r="F155" s="404"/>
      <c r="G155" s="404"/>
      <c r="H155" s="182">
        <f>SUM(H148:H154)</f>
        <v>38854.160000000003</v>
      </c>
    </row>
    <row r="156" spans="1:8" x14ac:dyDescent="0.25">
      <c r="A156" s="170"/>
      <c r="B156" s="171"/>
      <c r="C156" s="395" t="s">
        <v>158</v>
      </c>
      <c r="D156" s="395"/>
      <c r="E156" s="395"/>
      <c r="F156" s="395"/>
      <c r="G156" s="395"/>
      <c r="H156" s="395"/>
    </row>
    <row r="157" spans="1:8" x14ac:dyDescent="0.2">
      <c r="A157" s="170"/>
      <c r="B157" s="171"/>
      <c r="C157" s="177" t="s">
        <v>555</v>
      </c>
      <c r="D157" s="179">
        <f>D153</f>
        <v>1</v>
      </c>
      <c r="E157" s="179">
        <f>($K$32+$K$11)</f>
        <v>5</v>
      </c>
      <c r="F157" s="179" t="s">
        <v>161</v>
      </c>
      <c r="G157" s="83">
        <f>'TPU MAR-24'!$C$52</f>
        <v>318.24</v>
      </c>
      <c r="H157" s="180">
        <f t="shared" ref="H157:H160" si="20">D157*E157*G157</f>
        <v>1591.2</v>
      </c>
    </row>
    <row r="158" spans="1:8" x14ac:dyDescent="0.2">
      <c r="A158" s="170"/>
      <c r="B158" s="171"/>
      <c r="C158" s="177" t="s">
        <v>244</v>
      </c>
      <c r="D158" s="179">
        <f>D154</f>
        <v>1</v>
      </c>
      <c r="E158" s="179">
        <f>($K$32)</f>
        <v>3</v>
      </c>
      <c r="F158" s="179" t="s">
        <v>161</v>
      </c>
      <c r="G158" s="83">
        <f>'TPU MAR-24'!$C$53</f>
        <v>159.12</v>
      </c>
      <c r="H158" s="180">
        <f t="shared" si="20"/>
        <v>477.36</v>
      </c>
    </row>
    <row r="159" spans="1:8" x14ac:dyDescent="0.2">
      <c r="C159" s="81" t="s">
        <v>167</v>
      </c>
      <c r="D159" s="26">
        <v>1</v>
      </c>
      <c r="E159" s="82">
        <v>1</v>
      </c>
      <c r="F159" s="82" t="s">
        <v>168</v>
      </c>
      <c r="G159" s="93">
        <v>1500</v>
      </c>
      <c r="H159" s="180">
        <f t="shared" si="20"/>
        <v>1500</v>
      </c>
    </row>
    <row r="160" spans="1:8" x14ac:dyDescent="0.25">
      <c r="A160" s="170"/>
      <c r="B160" s="171"/>
      <c r="C160" s="177" t="s">
        <v>228</v>
      </c>
      <c r="D160" s="179">
        <f>D158</f>
        <v>1</v>
      </c>
      <c r="E160" s="179">
        <f>E158</f>
        <v>3</v>
      </c>
      <c r="F160" s="179" t="s">
        <v>161</v>
      </c>
      <c r="G160" s="95">
        <f>'TPU MAR-24'!$D$42</f>
        <v>193.64</v>
      </c>
      <c r="H160" s="180">
        <f t="shared" si="20"/>
        <v>580.91999999999996</v>
      </c>
    </row>
    <row r="161" spans="1:11" x14ac:dyDescent="0.25">
      <c r="C161" s="177" t="s">
        <v>217</v>
      </c>
      <c r="D161" s="179">
        <f>SUM(D154)</f>
        <v>1</v>
      </c>
      <c r="E161" s="184">
        <f>$K$5+$K$4</f>
        <v>291.25</v>
      </c>
      <c r="F161" s="179" t="s">
        <v>173</v>
      </c>
      <c r="G161" s="95">
        <f>'TPU MAR-24'!$D$40</f>
        <v>1.29</v>
      </c>
      <c r="H161" s="180">
        <f>D161*E161*G161</f>
        <v>375.71250000000003</v>
      </c>
    </row>
    <row r="162" spans="1:11" x14ac:dyDescent="0.25">
      <c r="A162" s="170"/>
      <c r="B162" s="171"/>
      <c r="C162" s="392" t="s">
        <v>179</v>
      </c>
      <c r="D162" s="393"/>
      <c r="E162" s="393"/>
      <c r="F162" s="393"/>
      <c r="G162" s="394"/>
      <c r="H162" s="182">
        <f>SUM(H157:H161)</f>
        <v>4525.1924999999992</v>
      </c>
    </row>
    <row r="163" spans="1:11" x14ac:dyDescent="0.25">
      <c r="A163" s="170"/>
      <c r="B163" s="171"/>
      <c r="C163" s="396" t="s">
        <v>177</v>
      </c>
      <c r="D163" s="397"/>
      <c r="E163" s="397"/>
      <c r="F163" s="397"/>
      <c r="G163" s="397"/>
      <c r="H163" s="398"/>
    </row>
    <row r="164" spans="1:11" x14ac:dyDescent="0.25">
      <c r="A164" s="170"/>
      <c r="B164" s="171"/>
      <c r="C164" s="392" t="s">
        <v>179</v>
      </c>
      <c r="D164" s="393"/>
      <c r="E164" s="393"/>
      <c r="F164" s="393"/>
      <c r="G164" s="394"/>
      <c r="H164" s="182">
        <f>H155+H162</f>
        <v>43379.352500000001</v>
      </c>
    </row>
    <row r="165" spans="1:11" x14ac:dyDescent="0.25">
      <c r="A165" s="185"/>
      <c r="B165" s="186"/>
      <c r="C165" s="392" t="s">
        <v>560</v>
      </c>
      <c r="D165" s="393"/>
      <c r="E165" s="393"/>
      <c r="F165" s="393"/>
      <c r="G165" s="394"/>
      <c r="H165" s="182">
        <f>H164</f>
        <v>43379.352500000001</v>
      </c>
    </row>
    <row r="166" spans="1:11" s="8" customFormat="1" x14ac:dyDescent="0.2">
      <c r="A166" s="163"/>
      <c r="B166" s="183"/>
      <c r="C166" s="392" t="s">
        <v>561</v>
      </c>
      <c r="D166" s="393"/>
      <c r="E166" s="393"/>
      <c r="F166" s="393"/>
      <c r="G166" s="394"/>
      <c r="H166" s="182">
        <f>H165*29</f>
        <v>1258001.2224999999</v>
      </c>
      <c r="J166" s="163"/>
      <c r="K166" s="163"/>
    </row>
    <row r="167" spans="1:11" s="8" customFormat="1" x14ac:dyDescent="0.2">
      <c r="A167" s="163"/>
      <c r="B167" s="183"/>
      <c r="C167" s="392" t="s">
        <v>562</v>
      </c>
      <c r="D167" s="393"/>
      <c r="E167" s="393"/>
      <c r="F167" s="393"/>
      <c r="G167" s="394"/>
      <c r="H167" s="182">
        <f>H166+H146</f>
        <v>1334901.0225</v>
      </c>
    </row>
    <row r="168" spans="1:11" s="8" customFormat="1" x14ac:dyDescent="0.2">
      <c r="A168" s="163"/>
      <c r="B168" s="183"/>
      <c r="C168" s="163"/>
      <c r="D168" s="163"/>
      <c r="E168" s="163"/>
      <c r="F168" s="163"/>
      <c r="G168" s="163"/>
      <c r="H168" s="163"/>
    </row>
    <row r="169" spans="1:11" s="8" customFormat="1" ht="12.75" thickBot="1" x14ac:dyDescent="0.25">
      <c r="A169" s="163"/>
      <c r="B169" s="183"/>
      <c r="C169" s="163"/>
      <c r="D169" s="163"/>
      <c r="E169" s="163"/>
      <c r="F169" s="163"/>
      <c r="G169" s="163"/>
      <c r="H169" s="163"/>
    </row>
    <row r="170" spans="1:11" s="8" customFormat="1" ht="12.75" thickBot="1" x14ac:dyDescent="0.25">
      <c r="A170" s="166" t="str">
        <f>CAPEX!$A$55</f>
        <v>7.5</v>
      </c>
      <c r="B170" s="167"/>
      <c r="C170" s="399" t="str">
        <f>CAPEX!$B$55</f>
        <v>Programa Carbono Neutro</v>
      </c>
      <c r="D170" s="400"/>
      <c r="E170" s="400"/>
      <c r="F170" s="400"/>
      <c r="G170" s="400"/>
      <c r="H170" s="192">
        <f>H184</f>
        <v>1202997.8716910698</v>
      </c>
    </row>
    <row r="171" spans="1:11" s="8" customFormat="1" ht="13.5" x14ac:dyDescent="0.2">
      <c r="B171" s="75"/>
      <c r="C171" s="411" t="s">
        <v>563</v>
      </c>
      <c r="D171" s="411"/>
      <c r="E171" s="411"/>
      <c r="F171" s="411"/>
      <c r="G171" s="411"/>
      <c r="H171" s="103">
        <v>28.7</v>
      </c>
    </row>
    <row r="172" spans="1:11" s="8" customFormat="1" x14ac:dyDescent="0.2">
      <c r="B172" s="75"/>
      <c r="C172" s="411" t="s">
        <v>564</v>
      </c>
      <c r="D172" s="411"/>
      <c r="E172" s="411"/>
      <c r="F172" s="411"/>
      <c r="G172" s="411"/>
      <c r="H172" s="107">
        <f>$K$4</f>
        <v>11.25</v>
      </c>
    </row>
    <row r="173" spans="1:11" s="8" customFormat="1" x14ac:dyDescent="0.2">
      <c r="B173" s="75"/>
      <c r="C173" s="405"/>
      <c r="D173" s="405"/>
      <c r="E173" s="405"/>
      <c r="F173" s="405"/>
      <c r="G173" s="405"/>
      <c r="H173" s="405"/>
    </row>
    <row r="174" spans="1:11" s="8" customFormat="1" ht="14.25" x14ac:dyDescent="0.25">
      <c r="B174" s="75"/>
      <c r="C174" s="412" t="s">
        <v>565</v>
      </c>
      <c r="D174" s="412"/>
      <c r="E174" s="412"/>
      <c r="F174" s="412"/>
      <c r="G174" s="412"/>
      <c r="H174" s="103">
        <f>(354.23+106.66)/$H$171</f>
        <v>16.058885017421602</v>
      </c>
    </row>
    <row r="175" spans="1:11" s="8" customFormat="1" ht="13.5" x14ac:dyDescent="0.25">
      <c r="B175" s="75"/>
      <c r="C175" s="411" t="s">
        <v>566</v>
      </c>
      <c r="D175" s="411"/>
      <c r="E175" s="411"/>
      <c r="F175" s="411"/>
      <c r="G175" s="411"/>
      <c r="H175" s="107">
        <f>H174*H172</f>
        <v>180.66245644599303</v>
      </c>
    </row>
    <row r="176" spans="1:11" s="8" customFormat="1" ht="13.5" x14ac:dyDescent="0.25">
      <c r="B176" s="75"/>
      <c r="C176" s="411" t="s">
        <v>567</v>
      </c>
      <c r="D176" s="411"/>
      <c r="E176" s="411"/>
      <c r="F176" s="411"/>
      <c r="G176" s="411"/>
      <c r="H176" s="107">
        <f>((H175*1000)*20)/163.14</f>
        <v>22148.149619467091</v>
      </c>
    </row>
    <row r="177" spans="1:11" s="8" customFormat="1" x14ac:dyDescent="0.2">
      <c r="B177" s="75"/>
      <c r="C177" s="411" t="s">
        <v>568</v>
      </c>
      <c r="D177" s="411"/>
      <c r="E177" s="411"/>
      <c r="F177" s="411"/>
      <c r="G177" s="411"/>
      <c r="H177" s="107">
        <f>H176/1667</f>
        <v>13.286232525175219</v>
      </c>
    </row>
    <row r="178" spans="1:11" s="8" customFormat="1" x14ac:dyDescent="0.2">
      <c r="B178" s="75"/>
      <c r="C178" s="411" t="s">
        <v>569</v>
      </c>
      <c r="D178" s="411"/>
      <c r="E178" s="411"/>
      <c r="F178" s="411"/>
      <c r="G178" s="411"/>
      <c r="H178" s="107">
        <f>(H177*30)/20</f>
        <v>19.929348787762827</v>
      </c>
    </row>
    <row r="179" spans="1:11" s="8" customFormat="1" x14ac:dyDescent="0.2">
      <c r="B179" s="75"/>
      <c r="C179" s="405"/>
      <c r="D179" s="405"/>
      <c r="E179" s="405"/>
      <c r="F179" s="405"/>
      <c r="G179" s="405"/>
      <c r="H179" s="405"/>
    </row>
    <row r="180" spans="1:11" s="8" customFormat="1" x14ac:dyDescent="0.2">
      <c r="B180" s="75"/>
      <c r="C180" s="409" t="s">
        <v>570</v>
      </c>
      <c r="D180" s="409"/>
      <c r="E180" s="409"/>
      <c r="F180" s="409"/>
      <c r="G180" s="409"/>
      <c r="H180" s="409"/>
    </row>
    <row r="181" spans="1:11" s="8" customFormat="1" x14ac:dyDescent="0.2">
      <c r="B181" s="75"/>
      <c r="C181" s="406" t="s">
        <v>571</v>
      </c>
      <c r="D181" s="406"/>
      <c r="E181" s="415" t="s">
        <v>572</v>
      </c>
      <c r="F181" s="416"/>
      <c r="G181" s="40" t="s">
        <v>573</v>
      </c>
      <c r="H181" s="40" t="s">
        <v>13</v>
      </c>
    </row>
    <row r="182" spans="1:11" x14ac:dyDescent="0.2">
      <c r="A182" s="8"/>
      <c r="B182" s="75"/>
      <c r="C182" s="407" t="s">
        <v>383</v>
      </c>
      <c r="D182" s="408"/>
      <c r="E182" s="193">
        <f>H178</f>
        <v>19.929348787762827</v>
      </c>
      <c r="F182" s="71">
        <v>1</v>
      </c>
      <c r="G182" s="95">
        <f>'TPU MAR-24'!$D$10</f>
        <v>31827.01</v>
      </c>
      <c r="H182" s="194">
        <f>E182*F182*G182</f>
        <v>634291.5831616153</v>
      </c>
      <c r="J182" s="8"/>
      <c r="K182" s="8"/>
    </row>
    <row r="183" spans="1:11" x14ac:dyDescent="0.2">
      <c r="A183" s="8"/>
      <c r="B183" s="75"/>
      <c r="C183" s="407" t="s">
        <v>384</v>
      </c>
      <c r="D183" s="408"/>
      <c r="E183" s="193">
        <f>H178</f>
        <v>19.929348787762827</v>
      </c>
      <c r="F183" s="71">
        <v>36</v>
      </c>
      <c r="G183" s="95">
        <f>'TPU MAR-24'!$D$9</f>
        <v>792.67</v>
      </c>
      <c r="H183" s="194">
        <f>E183*F183*G183</f>
        <v>568706.2885294545</v>
      </c>
    </row>
    <row r="184" spans="1:11" x14ac:dyDescent="0.2">
      <c r="A184" s="8"/>
      <c r="B184" s="75"/>
      <c r="C184" s="365" t="s">
        <v>574</v>
      </c>
      <c r="D184" s="365"/>
      <c r="E184" s="365"/>
      <c r="F184" s="365"/>
      <c r="G184" s="365"/>
      <c r="H184" s="89">
        <f>SUM(H182:H183)</f>
        <v>1202997.8716910698</v>
      </c>
    </row>
    <row r="185" spans="1:11" x14ac:dyDescent="0.2">
      <c r="A185" s="8"/>
      <c r="B185" s="75"/>
      <c r="C185" s="410" t="s">
        <v>1038</v>
      </c>
      <c r="D185" s="410"/>
      <c r="E185" s="410"/>
      <c r="F185" s="410"/>
      <c r="G185" s="410"/>
      <c r="H185" s="410"/>
    </row>
    <row r="188" spans="1:11" x14ac:dyDescent="0.25">
      <c r="A188" s="166" t="str">
        <f>CAPEX!$A$56</f>
        <v>7.6</v>
      </c>
      <c r="B188" s="167"/>
      <c r="C188" s="399" t="str">
        <f>CAPEX!$B$56</f>
        <v xml:space="preserve">Análise de Risco de Desastres Naturais e Mudanças Climáticas </v>
      </c>
      <c r="D188" s="400"/>
      <c r="E188" s="400"/>
      <c r="F188" s="400"/>
      <c r="G188" s="400"/>
      <c r="H188" s="168">
        <f>$H$212</f>
        <v>433933.55249999993</v>
      </c>
    </row>
    <row r="189" spans="1:11" ht="24" x14ac:dyDescent="0.25">
      <c r="A189" s="170"/>
      <c r="B189" s="171"/>
      <c r="C189" s="172" t="s">
        <v>109</v>
      </c>
      <c r="D189" s="172" t="s">
        <v>28</v>
      </c>
      <c r="E189" s="172" t="s">
        <v>110</v>
      </c>
      <c r="F189" s="172" t="s">
        <v>111</v>
      </c>
      <c r="G189" s="172" t="s">
        <v>112</v>
      </c>
      <c r="H189" s="174" t="s">
        <v>113</v>
      </c>
    </row>
    <row r="190" spans="1:11" x14ac:dyDescent="0.25">
      <c r="A190" s="170"/>
      <c r="B190" s="171"/>
      <c r="C190" s="395" t="s">
        <v>190</v>
      </c>
      <c r="D190" s="395"/>
      <c r="E190" s="395"/>
      <c r="F190" s="395"/>
      <c r="G190" s="395"/>
      <c r="H190" s="395"/>
    </row>
    <row r="191" spans="1:11" x14ac:dyDescent="0.2">
      <c r="A191" s="176"/>
      <c r="B191" s="80" t="s">
        <v>116</v>
      </c>
      <c r="C191" s="177" t="s">
        <v>117</v>
      </c>
      <c r="D191" s="179">
        <v>1</v>
      </c>
      <c r="E191" s="179">
        <f>(($K$9/5)*($K$7/8)*$K$10*$K$34)</f>
        <v>32</v>
      </c>
      <c r="F191" s="179" t="s">
        <v>118</v>
      </c>
      <c r="G191" s="83">
        <f>INDEX('TPU MAR-24'!$D$9:$D$999,MATCH(B191,'TPU MAR-24'!$A$9:$A$999,0))</f>
        <v>391.54</v>
      </c>
      <c r="H191" s="180">
        <f>D191*E191*G191</f>
        <v>12529.28</v>
      </c>
    </row>
    <row r="192" spans="1:11" x14ac:dyDescent="0.2">
      <c r="A192" s="176"/>
      <c r="B192" s="80" t="s">
        <v>123</v>
      </c>
      <c r="C192" s="177" t="s">
        <v>575</v>
      </c>
      <c r="D192" s="179">
        <v>1</v>
      </c>
      <c r="E192" s="179">
        <f>(($K$9/5)*($K$7)*$K$10*$K$34)</f>
        <v>256</v>
      </c>
      <c r="F192" s="179" t="s">
        <v>118</v>
      </c>
      <c r="G192" s="83">
        <f>INDEX('TPU MAR-24'!$D$9:$D$999,MATCH(B192,'TPU MAR-24'!$A$9:$A$999,0))</f>
        <v>268.08</v>
      </c>
      <c r="H192" s="180">
        <f t="shared" ref="H192:H196" si="21">D192*E192*G192</f>
        <v>68628.479999999996</v>
      </c>
    </row>
    <row r="193" spans="1:8" x14ac:dyDescent="0.2">
      <c r="A193" s="176"/>
      <c r="B193" s="80" t="s">
        <v>123</v>
      </c>
      <c r="C193" s="177" t="s">
        <v>576</v>
      </c>
      <c r="D193" s="179">
        <v>1</v>
      </c>
      <c r="E193" s="179">
        <f>(($K$9)*($K$7)*($K$10/2)*$K$34)</f>
        <v>640</v>
      </c>
      <c r="F193" s="179" t="s">
        <v>118</v>
      </c>
      <c r="G193" s="83">
        <f>INDEX('TPU MAR-24'!$D$9:$D$999,MATCH(B193,'TPU MAR-24'!$A$9:$A$999,0))</f>
        <v>268.08</v>
      </c>
      <c r="H193" s="180">
        <f t="shared" si="21"/>
        <v>171571.19999999998</v>
      </c>
    </row>
    <row r="194" spans="1:8" x14ac:dyDescent="0.2">
      <c r="A194" s="176"/>
      <c r="B194" s="84" t="s">
        <v>140</v>
      </c>
      <c r="C194" s="177" t="s">
        <v>577</v>
      </c>
      <c r="D194" s="179">
        <v>1</v>
      </c>
      <c r="E194" s="179">
        <f>(($K$9)*($K$7)*($K$10/2)*$K$34)</f>
        <v>640</v>
      </c>
      <c r="F194" s="179" t="s">
        <v>118</v>
      </c>
      <c r="G194" s="83">
        <f>INDEX('TPU MAR-24'!$D$9:$D$999,MATCH(B194,'TPU MAR-24'!$A$9:$A$999,0))</f>
        <v>213.54</v>
      </c>
      <c r="H194" s="180">
        <f t="shared" si="21"/>
        <v>136665.60000000001</v>
      </c>
    </row>
    <row r="195" spans="1:8" x14ac:dyDescent="0.2">
      <c r="A195" s="176"/>
      <c r="B195" s="84" t="s">
        <v>143</v>
      </c>
      <c r="C195" s="177" t="s">
        <v>200</v>
      </c>
      <c r="D195" s="179">
        <v>1</v>
      </c>
      <c r="E195" s="179">
        <f>(($K$9/5)*($K$7/4)*$K$10*$K$34)</f>
        <v>64</v>
      </c>
      <c r="F195" s="179" t="s">
        <v>118</v>
      </c>
      <c r="G195" s="83">
        <f>INDEX('TPU MAR-24'!$D$9:$D$999,MATCH(B195,'TPU MAR-24'!$A$9:$A$999,0))</f>
        <v>94.41</v>
      </c>
      <c r="H195" s="180">
        <f t="shared" si="21"/>
        <v>6042.24</v>
      </c>
    </row>
    <row r="196" spans="1:8" x14ac:dyDescent="0.2">
      <c r="A196" s="176"/>
      <c r="B196" s="84" t="s">
        <v>146</v>
      </c>
      <c r="C196" s="177" t="s">
        <v>147</v>
      </c>
      <c r="D196" s="179">
        <v>1</v>
      </c>
      <c r="E196" s="179">
        <f>(($K$9/5)*($K$7/8)*$K$10*$K$34)</f>
        <v>32</v>
      </c>
      <c r="F196" s="179" t="s">
        <v>118</v>
      </c>
      <c r="G196" s="83">
        <f>INDEX('TPU MAR-24'!$D$9:$D$999,MATCH(B196,'TPU MAR-24'!$A$9:$A$999,0))</f>
        <v>46.06</v>
      </c>
      <c r="H196" s="180">
        <f t="shared" si="21"/>
        <v>1473.92</v>
      </c>
    </row>
    <row r="197" spans="1:8" x14ac:dyDescent="0.25">
      <c r="A197" s="170"/>
      <c r="B197" s="171"/>
      <c r="C197" s="401" t="s">
        <v>149</v>
      </c>
      <c r="D197" s="402"/>
      <c r="E197" s="402"/>
      <c r="F197" s="402"/>
      <c r="G197" s="402"/>
      <c r="H197" s="403"/>
    </row>
    <row r="198" spans="1:8" x14ac:dyDescent="0.2">
      <c r="A198" s="176"/>
      <c r="B198" s="80" t="s">
        <v>123</v>
      </c>
      <c r="C198" s="177" t="s">
        <v>576</v>
      </c>
      <c r="D198" s="179">
        <v>1</v>
      </c>
      <c r="E198" s="179">
        <f>($K$35+$K$11)*$K$8</f>
        <v>60</v>
      </c>
      <c r="F198" s="179" t="s">
        <v>118</v>
      </c>
      <c r="G198" s="83">
        <f>INDEX('TPU MAR-24'!$D$9:$D$999,MATCH(B198,'TPU MAR-24'!$A$9:$A$999,0))</f>
        <v>268.08</v>
      </c>
      <c r="H198" s="180">
        <f t="shared" ref="H198:H200" si="22">D198*E198*G198</f>
        <v>16084.8</v>
      </c>
    </row>
    <row r="199" spans="1:8" x14ac:dyDescent="0.2">
      <c r="A199" s="176"/>
      <c r="B199" s="84" t="s">
        <v>140</v>
      </c>
      <c r="C199" s="177" t="s">
        <v>577</v>
      </c>
      <c r="D199" s="179">
        <v>1</v>
      </c>
      <c r="E199" s="179">
        <f>($K$35+$K$11)*$K$8</f>
        <v>60</v>
      </c>
      <c r="F199" s="179" t="s">
        <v>118</v>
      </c>
      <c r="G199" s="83">
        <f>INDEX('TPU MAR-24'!$D$9:$D$999,MATCH(B199,'TPU MAR-24'!$A$9:$A$999,0))</f>
        <v>213.54</v>
      </c>
      <c r="H199" s="180">
        <f t="shared" si="22"/>
        <v>12812.4</v>
      </c>
    </row>
    <row r="200" spans="1:8" x14ac:dyDescent="0.2">
      <c r="A200" s="176"/>
      <c r="B200" s="84" t="s">
        <v>153</v>
      </c>
      <c r="C200" s="177" t="s">
        <v>154</v>
      </c>
      <c r="D200" s="179">
        <v>1</v>
      </c>
      <c r="E200" s="179">
        <f>($K$35)*$K$8</f>
        <v>40</v>
      </c>
      <c r="F200" s="179" t="s">
        <v>118</v>
      </c>
      <c r="G200" s="83">
        <f>INDEX('TPU MAR-24'!$D$9:$D$999,MATCH(B200,'TPU MAR-24'!$A$9:$A$999,0))</f>
        <v>25.5</v>
      </c>
      <c r="H200" s="180">
        <f t="shared" si="22"/>
        <v>1020</v>
      </c>
    </row>
    <row r="201" spans="1:8" x14ac:dyDescent="0.25">
      <c r="A201" s="170"/>
      <c r="B201" s="171"/>
      <c r="C201" s="404" t="s">
        <v>179</v>
      </c>
      <c r="D201" s="404"/>
      <c r="E201" s="404"/>
      <c r="F201" s="404"/>
      <c r="G201" s="404"/>
      <c r="H201" s="182">
        <f>SUM(H191:H200)</f>
        <v>426827.91999999993</v>
      </c>
    </row>
    <row r="202" spans="1:8" ht="12.75" customHeight="1" x14ac:dyDescent="0.25">
      <c r="A202" s="170"/>
      <c r="B202" s="171"/>
      <c r="C202" s="395" t="s">
        <v>158</v>
      </c>
      <c r="D202" s="395"/>
      <c r="E202" s="395"/>
      <c r="F202" s="395"/>
      <c r="G202" s="395"/>
      <c r="H202" s="395"/>
    </row>
    <row r="203" spans="1:8" ht="12.75" customHeight="1" x14ac:dyDescent="0.2">
      <c r="A203" s="170"/>
      <c r="B203" s="171"/>
      <c r="C203" s="177" t="s">
        <v>578</v>
      </c>
      <c r="D203" s="179">
        <f>D198</f>
        <v>1</v>
      </c>
      <c r="E203" s="179">
        <f>($K$35+$K$11)</f>
        <v>6</v>
      </c>
      <c r="F203" s="179" t="s">
        <v>161</v>
      </c>
      <c r="G203" s="83">
        <f>'TPU MAR-24'!$C$52</f>
        <v>318.24</v>
      </c>
      <c r="H203" s="180">
        <f t="shared" ref="H203:H207" si="23">D203*E203*G203</f>
        <v>1909.44</v>
      </c>
    </row>
    <row r="204" spans="1:8" ht="12.75" customHeight="1" x14ac:dyDescent="0.2">
      <c r="A204" s="170"/>
      <c r="B204" s="171"/>
      <c r="C204" s="177" t="s">
        <v>579</v>
      </c>
      <c r="D204" s="179">
        <f>D199</f>
        <v>1</v>
      </c>
      <c r="E204" s="179">
        <f>($K$35+$K$11)</f>
        <v>6</v>
      </c>
      <c r="F204" s="179" t="s">
        <v>161</v>
      </c>
      <c r="G204" s="83">
        <f>'TPU MAR-24'!$C$52</f>
        <v>318.24</v>
      </c>
      <c r="H204" s="180">
        <f t="shared" si="23"/>
        <v>1909.44</v>
      </c>
    </row>
    <row r="205" spans="1:8" ht="12.75" customHeight="1" x14ac:dyDescent="0.2">
      <c r="A205" s="170"/>
      <c r="B205" s="171"/>
      <c r="C205" s="177" t="s">
        <v>244</v>
      </c>
      <c r="D205" s="179">
        <f>D200</f>
        <v>1</v>
      </c>
      <c r="E205" s="179">
        <f>($K$35)</f>
        <v>4</v>
      </c>
      <c r="F205" s="179" t="s">
        <v>161</v>
      </c>
      <c r="G205" s="83">
        <f>'TPU MAR-24'!$C$53</f>
        <v>159.12</v>
      </c>
      <c r="H205" s="180">
        <f t="shared" si="23"/>
        <v>636.48</v>
      </c>
    </row>
    <row r="206" spans="1:8" x14ac:dyDescent="0.2">
      <c r="C206" s="81" t="s">
        <v>167</v>
      </c>
      <c r="D206" s="26">
        <v>1</v>
      </c>
      <c r="E206" s="82">
        <v>1</v>
      </c>
      <c r="F206" s="82" t="s">
        <v>168</v>
      </c>
      <c r="G206" s="93">
        <v>1500</v>
      </c>
      <c r="H206" s="180">
        <f t="shared" si="23"/>
        <v>1500</v>
      </c>
    </row>
    <row r="207" spans="1:8" x14ac:dyDescent="0.25">
      <c r="A207" s="170"/>
      <c r="B207" s="171"/>
      <c r="C207" s="177" t="s">
        <v>228</v>
      </c>
      <c r="D207" s="179">
        <f>D205</f>
        <v>1</v>
      </c>
      <c r="E207" s="179">
        <f>E205</f>
        <v>4</v>
      </c>
      <c r="F207" s="179" t="s">
        <v>161</v>
      </c>
      <c r="G207" s="95">
        <f>'TPU MAR-24'!$D$42</f>
        <v>193.64</v>
      </c>
      <c r="H207" s="180">
        <f t="shared" si="23"/>
        <v>774.56</v>
      </c>
    </row>
    <row r="208" spans="1:8" x14ac:dyDescent="0.25">
      <c r="C208" s="177" t="s">
        <v>217</v>
      </c>
      <c r="D208" s="179">
        <f>SUM(D200)</f>
        <v>1</v>
      </c>
      <c r="E208" s="184">
        <f>$K$5+$K$4</f>
        <v>291.25</v>
      </c>
      <c r="F208" s="179" t="s">
        <v>173</v>
      </c>
      <c r="G208" s="95">
        <f>'TPU MAR-24'!$D$40</f>
        <v>1.29</v>
      </c>
      <c r="H208" s="180">
        <f>D208*E208*G208</f>
        <v>375.71250000000003</v>
      </c>
    </row>
    <row r="209" spans="1:8" x14ac:dyDescent="0.25">
      <c r="A209" s="170"/>
      <c r="B209" s="171"/>
      <c r="C209" s="392" t="s">
        <v>179</v>
      </c>
      <c r="D209" s="393"/>
      <c r="E209" s="393"/>
      <c r="F209" s="393"/>
      <c r="G209" s="394"/>
      <c r="H209" s="182">
        <f>SUM(H203:H208)</f>
        <v>7105.6324999999997</v>
      </c>
    </row>
    <row r="210" spans="1:8" x14ac:dyDescent="0.25">
      <c r="A210" s="170"/>
      <c r="B210" s="171"/>
      <c r="C210" s="396" t="s">
        <v>177</v>
      </c>
      <c r="D210" s="397"/>
      <c r="E210" s="397"/>
      <c r="F210" s="397"/>
      <c r="G210" s="397"/>
      <c r="H210" s="398"/>
    </row>
    <row r="211" spans="1:8" x14ac:dyDescent="0.25">
      <c r="A211" s="170"/>
      <c r="B211" s="171"/>
      <c r="C211" s="392" t="s">
        <v>179</v>
      </c>
      <c r="D211" s="393"/>
      <c r="E211" s="393"/>
      <c r="F211" s="393"/>
      <c r="G211" s="394"/>
      <c r="H211" s="182">
        <f>H201+H209</f>
        <v>433933.55249999993</v>
      </c>
    </row>
    <row r="212" spans="1:8" x14ac:dyDescent="0.25">
      <c r="A212" s="170"/>
      <c r="B212" s="171"/>
      <c r="C212" s="392" t="s">
        <v>267</v>
      </c>
      <c r="D212" s="393"/>
      <c r="E212" s="393"/>
      <c r="F212" s="393"/>
      <c r="G212" s="394"/>
      <c r="H212" s="182">
        <f>H211</f>
        <v>433933.55249999993</v>
      </c>
    </row>
    <row r="213" spans="1:8" x14ac:dyDescent="0.25">
      <c r="C213" s="185"/>
      <c r="D213" s="185"/>
      <c r="E213" s="185"/>
      <c r="F213" s="185"/>
      <c r="G213" s="185"/>
    </row>
    <row r="214" spans="1:8" x14ac:dyDescent="0.25">
      <c r="C214" s="185"/>
      <c r="D214" s="185"/>
      <c r="E214" s="185"/>
      <c r="F214" s="185"/>
      <c r="G214" s="185"/>
    </row>
    <row r="215" spans="1:8" x14ac:dyDescent="0.25">
      <c r="A215" s="166" t="str">
        <f>CAPEX!$A$57</f>
        <v>7.7</v>
      </c>
      <c r="B215" s="167"/>
      <c r="C215" s="399" t="str">
        <f>CAPEX!$B$57</f>
        <v>Elaboração de Relatório de Sustentabilidade</v>
      </c>
      <c r="D215" s="400"/>
      <c r="E215" s="400"/>
      <c r="F215" s="400"/>
      <c r="G215" s="400"/>
      <c r="H215" s="168">
        <f>H239</f>
        <v>5854455.0324999997</v>
      </c>
    </row>
    <row r="216" spans="1:8" ht="24" x14ac:dyDescent="0.25">
      <c r="A216" s="170"/>
      <c r="B216" s="171"/>
      <c r="C216" s="172" t="s">
        <v>109</v>
      </c>
      <c r="D216" s="172" t="s">
        <v>28</v>
      </c>
      <c r="E216" s="172" t="s">
        <v>110</v>
      </c>
      <c r="F216" s="172" t="s">
        <v>111</v>
      </c>
      <c r="G216" s="172" t="s">
        <v>112</v>
      </c>
      <c r="H216" s="174" t="s">
        <v>113</v>
      </c>
    </row>
    <row r="217" spans="1:8" x14ac:dyDescent="0.25">
      <c r="A217" s="170"/>
      <c r="B217" s="171"/>
      <c r="C217" s="395" t="s">
        <v>190</v>
      </c>
      <c r="D217" s="395"/>
      <c r="E217" s="395"/>
      <c r="F217" s="395"/>
      <c r="G217" s="395"/>
      <c r="H217" s="395"/>
    </row>
    <row r="218" spans="1:8" x14ac:dyDescent="0.2">
      <c r="A218" s="176"/>
      <c r="B218" s="80" t="s">
        <v>116</v>
      </c>
      <c r="C218" s="177" t="s">
        <v>117</v>
      </c>
      <c r="D218" s="179">
        <v>1</v>
      </c>
      <c r="E218" s="179">
        <f>(($K$9/5)*($K$7/8)*$K$10*$K$46)*$K$51</f>
        <v>348</v>
      </c>
      <c r="F218" s="179" t="s">
        <v>118</v>
      </c>
      <c r="G218" s="83">
        <f>INDEX('TPU MAR-24'!$D$9:$D$999,MATCH(B218,'TPU MAR-24'!$A$9:$A$999,0))</f>
        <v>391.54</v>
      </c>
      <c r="H218" s="180">
        <f>D218*E218*G218</f>
        <v>136255.92000000001</v>
      </c>
    </row>
    <row r="219" spans="1:8" x14ac:dyDescent="0.2">
      <c r="A219" s="176"/>
      <c r="B219" s="80" t="s">
        <v>123</v>
      </c>
      <c r="C219" s="177" t="s">
        <v>580</v>
      </c>
      <c r="D219" s="179">
        <v>1</v>
      </c>
      <c r="E219" s="179">
        <f>$K$47*$K$7*$K$51</f>
        <v>4640</v>
      </c>
      <c r="F219" s="179" t="s">
        <v>118</v>
      </c>
      <c r="G219" s="83">
        <f>INDEX('TPU MAR-24'!$D$9:$D$999,MATCH(B219,'TPU MAR-24'!$A$9:$A$999,0))</f>
        <v>268.08</v>
      </c>
      <c r="H219" s="180">
        <f t="shared" ref="H219:H222" si="24">D219*E219*G219</f>
        <v>1243891.2</v>
      </c>
    </row>
    <row r="220" spans="1:8" x14ac:dyDescent="0.2">
      <c r="A220" s="176"/>
      <c r="B220" s="84" t="s">
        <v>140</v>
      </c>
      <c r="C220" s="177" t="s">
        <v>581</v>
      </c>
      <c r="D220" s="179">
        <v>2</v>
      </c>
      <c r="E220" s="179">
        <f>$K$48*$K$7*$K$51</f>
        <v>6960</v>
      </c>
      <c r="F220" s="179" t="s">
        <v>118</v>
      </c>
      <c r="G220" s="83">
        <f>INDEX('TPU MAR-24'!$D$9:$D$999,MATCH(B220,'TPU MAR-24'!$A$9:$A$999,0))</f>
        <v>213.54</v>
      </c>
      <c r="H220" s="180">
        <f t="shared" si="24"/>
        <v>2972476.8</v>
      </c>
    </row>
    <row r="221" spans="1:8" x14ac:dyDescent="0.2">
      <c r="A221" s="176"/>
      <c r="B221" s="84" t="s">
        <v>140</v>
      </c>
      <c r="C221" s="177" t="s">
        <v>582</v>
      </c>
      <c r="D221" s="179">
        <v>1</v>
      </c>
      <c r="E221" s="179">
        <f>$K$49*$K$7*$K$51</f>
        <v>2320</v>
      </c>
      <c r="F221" s="179" t="s">
        <v>118</v>
      </c>
      <c r="G221" s="83">
        <f>INDEX('TPU MAR-24'!$D$9:$D$999,MATCH(B221,'TPU MAR-24'!$A$9:$A$999,0))</f>
        <v>213.54</v>
      </c>
      <c r="H221" s="180">
        <f t="shared" si="24"/>
        <v>495412.8</v>
      </c>
    </row>
    <row r="222" spans="1:8" x14ac:dyDescent="0.2">
      <c r="A222" s="176"/>
      <c r="B222" s="84" t="s">
        <v>146</v>
      </c>
      <c r="C222" s="177" t="s">
        <v>147</v>
      </c>
      <c r="D222" s="179">
        <v>1</v>
      </c>
      <c r="E222" s="179">
        <f>(($K$9/5)*($K$7/8)*$K$10*$K$46)*$K$51</f>
        <v>348</v>
      </c>
      <c r="F222" s="179" t="s">
        <v>118</v>
      </c>
      <c r="G222" s="83">
        <f>INDEX('TPU MAR-24'!$D$9:$D$999,MATCH(B222,'TPU MAR-24'!$A$9:$A$999,0))</f>
        <v>46.06</v>
      </c>
      <c r="H222" s="180">
        <f t="shared" si="24"/>
        <v>16028.880000000001</v>
      </c>
    </row>
    <row r="223" spans="1:8" x14ac:dyDescent="0.25">
      <c r="A223" s="170"/>
      <c r="B223" s="171"/>
      <c r="C223" s="401" t="s">
        <v>149</v>
      </c>
      <c r="D223" s="402"/>
      <c r="E223" s="402"/>
      <c r="F223" s="402"/>
      <c r="G223" s="402"/>
      <c r="H223" s="403"/>
    </row>
    <row r="224" spans="1:8" x14ac:dyDescent="0.2">
      <c r="A224" s="176"/>
      <c r="B224" s="80" t="s">
        <v>123</v>
      </c>
      <c r="C224" s="177" t="s">
        <v>580</v>
      </c>
      <c r="D224" s="179">
        <v>1</v>
      </c>
      <c r="E224" s="179">
        <f>(($K$50+$K$11)*$K$8)*$K$51</f>
        <v>1450</v>
      </c>
      <c r="F224" s="179" t="s">
        <v>118</v>
      </c>
      <c r="G224" s="83">
        <f>INDEX('TPU MAR-24'!$D$9:$D$999,MATCH(B224,'TPU MAR-24'!$A$9:$A$999,0))</f>
        <v>268.08</v>
      </c>
      <c r="H224" s="180">
        <f t="shared" ref="H224:H226" si="25">D224*E224*G224</f>
        <v>388716</v>
      </c>
    </row>
    <row r="225" spans="1:8" x14ac:dyDescent="0.2">
      <c r="A225" s="176"/>
      <c r="B225" s="84" t="s">
        <v>140</v>
      </c>
      <c r="C225" s="177" t="s">
        <v>581</v>
      </c>
      <c r="D225" s="179">
        <v>1</v>
      </c>
      <c r="E225" s="179">
        <f>(($K$50+$K$11)*$K$8)*$K$51</f>
        <v>1450</v>
      </c>
      <c r="F225" s="179" t="s">
        <v>118</v>
      </c>
      <c r="G225" s="83">
        <f>INDEX('TPU MAR-24'!$D$9:$D$999,MATCH(B225,'TPU MAR-24'!$A$9:$A$999,0))</f>
        <v>213.54</v>
      </c>
      <c r="H225" s="180">
        <f t="shared" si="25"/>
        <v>309633</v>
      </c>
    </row>
    <row r="226" spans="1:8" x14ac:dyDescent="0.2">
      <c r="A226" s="176"/>
      <c r="B226" s="84" t="s">
        <v>153</v>
      </c>
      <c r="C226" s="177" t="s">
        <v>154</v>
      </c>
      <c r="D226" s="179">
        <v>1</v>
      </c>
      <c r="E226" s="179">
        <f>(($K$50)*$K$8)*$K$51</f>
        <v>870</v>
      </c>
      <c r="F226" s="179" t="s">
        <v>118</v>
      </c>
      <c r="G226" s="83">
        <f>INDEX('TPU MAR-24'!$D$9:$D$999,MATCH(B226,'TPU MAR-24'!$A$9:$A$999,0))</f>
        <v>25.5</v>
      </c>
      <c r="H226" s="180">
        <f t="shared" si="25"/>
        <v>22185</v>
      </c>
    </row>
    <row r="227" spans="1:8" x14ac:dyDescent="0.25">
      <c r="A227" s="170"/>
      <c r="B227" s="171"/>
      <c r="C227" s="404" t="s">
        <v>179</v>
      </c>
      <c r="D227" s="404"/>
      <c r="E227" s="404"/>
      <c r="F227" s="404"/>
      <c r="G227" s="404"/>
      <c r="H227" s="182">
        <f>SUM(H218:H226)</f>
        <v>5584599.5999999996</v>
      </c>
    </row>
    <row r="228" spans="1:8" x14ac:dyDescent="0.25">
      <c r="A228" s="170"/>
      <c r="B228" s="171"/>
      <c r="C228" s="395" t="s">
        <v>158</v>
      </c>
      <c r="D228" s="395"/>
      <c r="E228" s="395"/>
      <c r="F228" s="395"/>
      <c r="G228" s="395"/>
      <c r="H228" s="395"/>
    </row>
    <row r="229" spans="1:8" x14ac:dyDescent="0.2">
      <c r="A229" s="170"/>
      <c r="B229" s="171"/>
      <c r="C229" s="177" t="s">
        <v>583</v>
      </c>
      <c r="D229" s="179">
        <f>D224</f>
        <v>1</v>
      </c>
      <c r="E229" s="179">
        <f>(($K$50+$K$11))*$K$51</f>
        <v>145</v>
      </c>
      <c r="F229" s="179" t="s">
        <v>161</v>
      </c>
      <c r="G229" s="83">
        <f>'TPU MAR-24'!$C$52</f>
        <v>318.24</v>
      </c>
      <c r="H229" s="180">
        <f t="shared" ref="H229:H234" si="26">D229*E229*G229</f>
        <v>46144.800000000003</v>
      </c>
    </row>
    <row r="230" spans="1:8" x14ac:dyDescent="0.2">
      <c r="A230" s="170"/>
      <c r="B230" s="171"/>
      <c r="C230" s="177" t="s">
        <v>584</v>
      </c>
      <c r="D230" s="179">
        <f>D225</f>
        <v>1</v>
      </c>
      <c r="E230" s="179">
        <f>(($K$50+$K$11))*$K$51</f>
        <v>145</v>
      </c>
      <c r="F230" s="179" t="s">
        <v>161</v>
      </c>
      <c r="G230" s="83">
        <f>'TPU MAR-24'!$C$52</f>
        <v>318.24</v>
      </c>
      <c r="H230" s="180">
        <f t="shared" si="26"/>
        <v>46144.800000000003</v>
      </c>
    </row>
    <row r="231" spans="1:8" x14ac:dyDescent="0.2">
      <c r="A231" s="170"/>
      <c r="B231" s="171"/>
      <c r="C231" s="177" t="s">
        <v>244</v>
      </c>
      <c r="D231" s="179">
        <f>D226</f>
        <v>1</v>
      </c>
      <c r="E231" s="179">
        <f>(($K$50))*$K$51</f>
        <v>87</v>
      </c>
      <c r="F231" s="179" t="s">
        <v>161</v>
      </c>
      <c r="G231" s="83">
        <f>'TPU MAR-24'!$C$53</f>
        <v>159.12</v>
      </c>
      <c r="H231" s="180">
        <f t="shared" si="26"/>
        <v>13843.44</v>
      </c>
    </row>
    <row r="232" spans="1:8" x14ac:dyDescent="0.25">
      <c r="A232" s="170"/>
      <c r="B232" s="171"/>
      <c r="C232" s="177" t="s">
        <v>585</v>
      </c>
      <c r="D232" s="179">
        <v>1</v>
      </c>
      <c r="E232" s="179">
        <f>$K$51</f>
        <v>29</v>
      </c>
      <c r="F232" s="179" t="s">
        <v>168</v>
      </c>
      <c r="G232" s="93">
        <f>$K$52</f>
        <v>5000</v>
      </c>
      <c r="H232" s="180">
        <f t="shared" si="26"/>
        <v>145000</v>
      </c>
    </row>
    <row r="233" spans="1:8" x14ac:dyDescent="0.2">
      <c r="C233" s="81" t="s">
        <v>167</v>
      </c>
      <c r="D233" s="26">
        <v>1</v>
      </c>
      <c r="E233" s="82">
        <v>1</v>
      </c>
      <c r="F233" s="82" t="s">
        <v>168</v>
      </c>
      <c r="G233" s="93">
        <v>1500</v>
      </c>
      <c r="H233" s="180">
        <f>D233*E233*G233</f>
        <v>1500</v>
      </c>
    </row>
    <row r="234" spans="1:8" ht="12.75" customHeight="1" x14ac:dyDescent="0.25">
      <c r="A234" s="170"/>
      <c r="B234" s="171"/>
      <c r="C234" s="177" t="s">
        <v>228</v>
      </c>
      <c r="D234" s="179">
        <f>D231</f>
        <v>1</v>
      </c>
      <c r="E234" s="179">
        <f>E231</f>
        <v>87</v>
      </c>
      <c r="F234" s="179" t="s">
        <v>161</v>
      </c>
      <c r="G234" s="95">
        <f>'TPU MAR-24'!$D$42</f>
        <v>193.64</v>
      </c>
      <c r="H234" s="180">
        <f t="shared" si="26"/>
        <v>16846.68</v>
      </c>
    </row>
    <row r="235" spans="1:8" x14ac:dyDescent="0.25">
      <c r="C235" s="177" t="s">
        <v>217</v>
      </c>
      <c r="D235" s="179">
        <f>SUM(D226)</f>
        <v>1</v>
      </c>
      <c r="E235" s="184">
        <f>$K$5+$K$4</f>
        <v>291.25</v>
      </c>
      <c r="F235" s="179" t="s">
        <v>173</v>
      </c>
      <c r="G235" s="95">
        <f>'TPU MAR-24'!$D$40</f>
        <v>1.29</v>
      </c>
      <c r="H235" s="180">
        <f>D235*E235*G235</f>
        <v>375.71250000000003</v>
      </c>
    </row>
    <row r="236" spans="1:8" ht="12.75" customHeight="1" x14ac:dyDescent="0.25">
      <c r="A236" s="170"/>
      <c r="B236" s="171"/>
      <c r="C236" s="392" t="s">
        <v>179</v>
      </c>
      <c r="D236" s="393"/>
      <c r="E236" s="393"/>
      <c r="F236" s="393"/>
      <c r="G236" s="394"/>
      <c r="H236" s="182">
        <f>SUM(H229:H235)</f>
        <v>269855.43250000005</v>
      </c>
    </row>
    <row r="237" spans="1:8" ht="12.75" customHeight="1" x14ac:dyDescent="0.25">
      <c r="A237" s="170"/>
      <c r="B237" s="171"/>
      <c r="C237" s="396" t="s">
        <v>177</v>
      </c>
      <c r="D237" s="397"/>
      <c r="E237" s="397"/>
      <c r="F237" s="397"/>
      <c r="G237" s="397"/>
      <c r="H237" s="398"/>
    </row>
    <row r="238" spans="1:8" ht="12.75" customHeight="1" x14ac:dyDescent="0.25">
      <c r="A238" s="170"/>
      <c r="B238" s="171"/>
      <c r="C238" s="392" t="s">
        <v>179</v>
      </c>
      <c r="D238" s="393"/>
      <c r="E238" s="393"/>
      <c r="F238" s="393"/>
      <c r="G238" s="394"/>
      <c r="H238" s="182">
        <f>H227+H236</f>
        <v>5854455.0324999997</v>
      </c>
    </row>
    <row r="239" spans="1:8" ht="12.75" customHeight="1" x14ac:dyDescent="0.25">
      <c r="A239" s="170"/>
      <c r="B239" s="171"/>
      <c r="C239" s="392" t="s">
        <v>267</v>
      </c>
      <c r="D239" s="393"/>
      <c r="E239" s="393"/>
      <c r="F239" s="393"/>
      <c r="G239" s="394"/>
      <c r="H239" s="182">
        <f>H238</f>
        <v>5854455.0324999997</v>
      </c>
    </row>
    <row r="240" spans="1:8" ht="12.75" customHeight="1" x14ac:dyDescent="0.25">
      <c r="C240" s="185"/>
      <c r="D240" s="185"/>
      <c r="E240" s="185"/>
      <c r="F240" s="185"/>
      <c r="G240" s="185"/>
    </row>
    <row r="241" ht="12.75" customHeight="1" x14ac:dyDescent="0.25"/>
  </sheetData>
  <mergeCells count="102">
    <mergeCell ref="A1:B1"/>
    <mergeCell ref="C1:H1"/>
    <mergeCell ref="C3:G3"/>
    <mergeCell ref="C5:H5"/>
    <mergeCell ref="C9:H9"/>
    <mergeCell ref="C13:G13"/>
    <mergeCell ref="E181:F181"/>
    <mergeCell ref="C22:G22"/>
    <mergeCell ref="C23:H23"/>
    <mergeCell ref="C30:H30"/>
    <mergeCell ref="C34:G34"/>
    <mergeCell ref="C35:H35"/>
    <mergeCell ref="C14:H14"/>
    <mergeCell ref="C19:G19"/>
    <mergeCell ref="C20:H20"/>
    <mergeCell ref="C21:G21"/>
    <mergeCell ref="C65:H65"/>
    <mergeCell ref="C66:G66"/>
    <mergeCell ref="C47:G47"/>
    <mergeCell ref="C48:H48"/>
    <mergeCell ref="C52:H52"/>
    <mergeCell ref="C56:G56"/>
    <mergeCell ref="C57:H57"/>
    <mergeCell ref="C64:G64"/>
    <mergeCell ref="C120:G120"/>
    <mergeCell ref="C123:G123"/>
    <mergeCell ref="C133:H133"/>
    <mergeCell ref="C136:G136"/>
    <mergeCell ref="C44:G44"/>
    <mergeCell ref="C45:H45"/>
    <mergeCell ref="C46:G46"/>
    <mergeCell ref="C68:G68"/>
    <mergeCell ref="C70:G70"/>
    <mergeCell ref="C110:H110"/>
    <mergeCell ref="C113:G113"/>
    <mergeCell ref="C114:H114"/>
    <mergeCell ref="C75:H75"/>
    <mergeCell ref="C99:G99"/>
    <mergeCell ref="C102:G102"/>
    <mergeCell ref="C104:H104"/>
    <mergeCell ref="C97:H97"/>
    <mergeCell ref="C69:F69"/>
    <mergeCell ref="C67:F67"/>
    <mergeCell ref="C73:G73"/>
    <mergeCell ref="C84:H84"/>
    <mergeCell ref="C88:G88"/>
    <mergeCell ref="C89:H89"/>
    <mergeCell ref="C96:G96"/>
    <mergeCell ref="C156:H156"/>
    <mergeCell ref="C162:G162"/>
    <mergeCell ref="C163:H163"/>
    <mergeCell ref="C164:G164"/>
    <mergeCell ref="C121:H121"/>
    <mergeCell ref="C122:G122"/>
    <mergeCell ref="C146:G146"/>
    <mergeCell ref="C147:H147"/>
    <mergeCell ref="C152:H152"/>
    <mergeCell ref="C137:H137"/>
    <mergeCell ref="C143:G143"/>
    <mergeCell ref="C144:H144"/>
    <mergeCell ref="C145:G145"/>
    <mergeCell ref="C126:G126"/>
    <mergeCell ref="C128:H128"/>
    <mergeCell ref="C155:G155"/>
    <mergeCell ref="C185:H185"/>
    <mergeCell ref="C171:G171"/>
    <mergeCell ref="C172:G172"/>
    <mergeCell ref="C175:G175"/>
    <mergeCell ref="C176:G176"/>
    <mergeCell ref="C165:G165"/>
    <mergeCell ref="C166:G166"/>
    <mergeCell ref="C167:G167"/>
    <mergeCell ref="C170:G170"/>
    <mergeCell ref="C184:G184"/>
    <mergeCell ref="C173:H173"/>
    <mergeCell ref="C174:G174"/>
    <mergeCell ref="C177:G177"/>
    <mergeCell ref="C178:G178"/>
    <mergeCell ref="C98:G98"/>
    <mergeCell ref="C239:G239"/>
    <mergeCell ref="C228:H228"/>
    <mergeCell ref="C236:G236"/>
    <mergeCell ref="C237:H237"/>
    <mergeCell ref="C238:G238"/>
    <mergeCell ref="C212:G212"/>
    <mergeCell ref="C215:G215"/>
    <mergeCell ref="C217:H217"/>
    <mergeCell ref="C223:H223"/>
    <mergeCell ref="C227:G227"/>
    <mergeCell ref="C202:H202"/>
    <mergeCell ref="C209:G209"/>
    <mergeCell ref="C210:H210"/>
    <mergeCell ref="C211:G211"/>
    <mergeCell ref="C188:G188"/>
    <mergeCell ref="C190:H190"/>
    <mergeCell ref="C197:H197"/>
    <mergeCell ref="C201:G201"/>
    <mergeCell ref="C179:H179"/>
    <mergeCell ref="C181:D181"/>
    <mergeCell ref="C182:D182"/>
    <mergeCell ref="C183:D183"/>
    <mergeCell ref="C180:H180"/>
  </mergeCells>
  <pageMargins left="0.511811024" right="0.511811024" top="0.78740157499999996" bottom="0.78740157499999996" header="0.31496062000000002" footer="0.31496062000000002"/>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01ACD-4FC6-4C5A-96C0-74203D230FE9}">
  <dimension ref="A1:K69"/>
  <sheetViews>
    <sheetView topLeftCell="A46" workbookViewId="0">
      <selection activeCell="D68" sqref="D68"/>
    </sheetView>
  </sheetViews>
  <sheetFormatPr defaultRowHeight="12" x14ac:dyDescent="0.2"/>
  <cols>
    <col min="1" max="1" width="9.140625" style="8"/>
    <col min="2" max="2" width="10.5703125" style="8" bestFit="1" customWidth="1"/>
    <col min="3" max="3" width="10.7109375" style="57" bestFit="1" customWidth="1"/>
    <col min="4" max="4" width="140.140625" style="8" hidden="1" customWidth="1"/>
    <col min="5" max="5" width="9.140625" style="8" hidden="1" customWidth="1"/>
    <col min="6" max="6" width="14" style="195" bestFit="1" customWidth="1"/>
    <col min="7" max="7" width="14" style="195" customWidth="1"/>
    <col min="8" max="8" width="11.7109375" style="195" customWidth="1"/>
    <col min="9" max="9" width="13.28515625" style="195" bestFit="1" customWidth="1"/>
    <col min="10" max="10" width="13.85546875" style="195" customWidth="1"/>
    <col min="11" max="11" width="15.28515625" style="195" bestFit="1" customWidth="1"/>
    <col min="12" max="16384" width="9.140625" style="8"/>
  </cols>
  <sheetData>
    <row r="1" spans="1:11" x14ac:dyDescent="0.2">
      <c r="G1" s="8"/>
      <c r="H1" s="8"/>
      <c r="I1" s="42"/>
      <c r="J1" s="71" t="s">
        <v>918</v>
      </c>
      <c r="K1" s="147">
        <v>0.99549600000000005</v>
      </c>
    </row>
    <row r="4" spans="1:11" x14ac:dyDescent="0.2">
      <c r="A4" s="417" t="s">
        <v>603</v>
      </c>
      <c r="B4" s="417"/>
      <c r="C4" s="417"/>
      <c r="D4" s="417"/>
      <c r="E4" s="417"/>
      <c r="F4" s="417"/>
      <c r="G4" s="417"/>
      <c r="H4" s="417"/>
      <c r="I4" s="417"/>
      <c r="J4" s="417"/>
      <c r="K4" s="168">
        <f>SUM(K6:K39)</f>
        <v>6380.3257519159606</v>
      </c>
    </row>
    <row r="5" spans="1:11" x14ac:dyDescent="0.2">
      <c r="A5" s="41" t="s">
        <v>602</v>
      </c>
      <c r="B5" s="41" t="s">
        <v>604</v>
      </c>
      <c r="C5" s="41" t="s">
        <v>605</v>
      </c>
      <c r="D5" s="41" t="s">
        <v>606</v>
      </c>
      <c r="E5" s="41" t="s">
        <v>111</v>
      </c>
      <c r="F5" s="196" t="s">
        <v>919</v>
      </c>
      <c r="G5" s="196" t="s">
        <v>917</v>
      </c>
      <c r="H5" s="196" t="s">
        <v>607</v>
      </c>
      <c r="I5" s="196" t="s">
        <v>608</v>
      </c>
      <c r="J5" s="196" t="s">
        <v>609</v>
      </c>
      <c r="K5" s="196" t="s">
        <v>610</v>
      </c>
    </row>
    <row r="6" spans="1:11" ht="24" x14ac:dyDescent="0.2">
      <c r="A6" s="124">
        <v>1</v>
      </c>
      <c r="B6" s="124" t="s">
        <v>611</v>
      </c>
      <c r="C6" s="124">
        <v>5502836</v>
      </c>
      <c r="D6" s="26" t="s">
        <v>612</v>
      </c>
      <c r="E6" s="124" t="s">
        <v>613</v>
      </c>
      <c r="F6" s="197">
        <v>8.35</v>
      </c>
      <c r="G6" s="197">
        <f>F6*$K$1</f>
        <v>8.3123915999999998</v>
      </c>
      <c r="H6" s="198">
        <v>0.18659999999999999</v>
      </c>
      <c r="I6" s="197">
        <f t="shared" ref="I6:I39" si="0">G6*(1+H6)</f>
        <v>9.863483872559998</v>
      </c>
      <c r="J6" s="197">
        <v>4</v>
      </c>
      <c r="K6" s="197">
        <f>J6*I6</f>
        <v>39.453935490239992</v>
      </c>
    </row>
    <row r="7" spans="1:11" x14ac:dyDescent="0.2">
      <c r="A7" s="124">
        <v>2</v>
      </c>
      <c r="B7" s="124" t="s">
        <v>611</v>
      </c>
      <c r="C7" s="124">
        <v>2004504</v>
      </c>
      <c r="D7" s="124" t="s">
        <v>614</v>
      </c>
      <c r="E7" s="124" t="s">
        <v>615</v>
      </c>
      <c r="F7" s="197">
        <v>16.55</v>
      </c>
      <c r="G7" s="197">
        <f t="shared" ref="G7:G30" si="1">F7*$K$1</f>
        <v>16.475458800000002</v>
      </c>
      <c r="H7" s="198">
        <v>0.18659999999999999</v>
      </c>
      <c r="I7" s="197">
        <f t="shared" si="0"/>
        <v>19.549779412079999</v>
      </c>
      <c r="J7" s="197">
        <v>2</v>
      </c>
      <c r="K7" s="197">
        <f t="shared" ref="K7:K39" si="2">J7*I7</f>
        <v>39.099558824159999</v>
      </c>
    </row>
    <row r="8" spans="1:11" x14ac:dyDescent="0.2">
      <c r="A8" s="124">
        <v>3</v>
      </c>
      <c r="B8" s="124" t="s">
        <v>611</v>
      </c>
      <c r="C8" s="124">
        <v>4805754</v>
      </c>
      <c r="D8" s="124" t="s">
        <v>616</v>
      </c>
      <c r="E8" s="124" t="s">
        <v>615</v>
      </c>
      <c r="F8" s="197">
        <v>7.88</v>
      </c>
      <c r="G8" s="197">
        <f t="shared" si="1"/>
        <v>7.84450848</v>
      </c>
      <c r="H8" s="198">
        <v>0.18659999999999999</v>
      </c>
      <c r="I8" s="197">
        <f t="shared" si="0"/>
        <v>9.3082937623679989</v>
      </c>
      <c r="J8" s="197">
        <v>1.8</v>
      </c>
      <c r="K8" s="197">
        <f t="shared" si="2"/>
        <v>16.754928772262399</v>
      </c>
    </row>
    <row r="9" spans="1:11" x14ac:dyDescent="0.2">
      <c r="A9" s="124">
        <v>4</v>
      </c>
      <c r="B9" s="124" t="s">
        <v>611</v>
      </c>
      <c r="C9" s="124">
        <v>3108013</v>
      </c>
      <c r="D9" s="124" t="s">
        <v>617</v>
      </c>
      <c r="E9" s="124" t="s">
        <v>618</v>
      </c>
      <c r="F9" s="197">
        <v>80.44</v>
      </c>
      <c r="G9" s="197">
        <f t="shared" si="1"/>
        <v>80.077698240000004</v>
      </c>
      <c r="H9" s="198">
        <v>0.18659999999999999</v>
      </c>
      <c r="I9" s="197">
        <f t="shared" si="0"/>
        <v>95.020196731583994</v>
      </c>
      <c r="J9" s="197">
        <v>1.5</v>
      </c>
      <c r="K9" s="197">
        <f t="shared" si="2"/>
        <v>142.53029509737598</v>
      </c>
    </row>
    <row r="10" spans="1:11" x14ac:dyDescent="0.2">
      <c r="A10" s="124">
        <v>5</v>
      </c>
      <c r="B10" s="124" t="s">
        <v>611</v>
      </c>
      <c r="C10" s="124">
        <v>3108011</v>
      </c>
      <c r="D10" s="124" t="s">
        <v>619</v>
      </c>
      <c r="E10" s="124" t="s">
        <v>618</v>
      </c>
      <c r="F10" s="197">
        <v>141.18</v>
      </c>
      <c r="G10" s="197">
        <f t="shared" si="1"/>
        <v>140.54412528</v>
      </c>
      <c r="H10" s="198">
        <v>0.18659999999999999</v>
      </c>
      <c r="I10" s="197">
        <f t="shared" si="0"/>
        <v>166.76965905724799</v>
      </c>
      <c r="J10" s="197">
        <v>5</v>
      </c>
      <c r="K10" s="197">
        <f t="shared" si="2"/>
        <v>833.84829528623993</v>
      </c>
    </row>
    <row r="11" spans="1:11" x14ac:dyDescent="0.2">
      <c r="A11" s="124">
        <v>6</v>
      </c>
      <c r="B11" s="124" t="s">
        <v>611</v>
      </c>
      <c r="C11" s="124">
        <v>407818</v>
      </c>
      <c r="D11" s="124" t="s">
        <v>620</v>
      </c>
      <c r="E11" s="124" t="s">
        <v>621</v>
      </c>
      <c r="F11" s="197">
        <v>11.58</v>
      </c>
      <c r="G11" s="197">
        <f t="shared" si="1"/>
        <v>11.52784368</v>
      </c>
      <c r="H11" s="198">
        <v>0.18659999999999999</v>
      </c>
      <c r="I11" s="197">
        <f t="shared" si="0"/>
        <v>13.678939310688</v>
      </c>
      <c r="J11" s="197">
        <v>3.5</v>
      </c>
      <c r="K11" s="197">
        <f t="shared" si="2"/>
        <v>47.876287587408001</v>
      </c>
    </row>
    <row r="12" spans="1:11" x14ac:dyDescent="0.2">
      <c r="A12" s="124">
        <v>7</v>
      </c>
      <c r="B12" s="124" t="s">
        <v>611</v>
      </c>
      <c r="C12" s="124">
        <v>407819</v>
      </c>
      <c r="D12" s="124" t="s">
        <v>622</v>
      </c>
      <c r="E12" s="124" t="s">
        <v>621</v>
      </c>
      <c r="F12" s="197">
        <v>11.84</v>
      </c>
      <c r="G12" s="197">
        <f t="shared" si="1"/>
        <v>11.786672640000001</v>
      </c>
      <c r="H12" s="198">
        <v>0.18659999999999999</v>
      </c>
      <c r="I12" s="197">
        <f t="shared" si="0"/>
        <v>13.986065754623999</v>
      </c>
      <c r="J12" s="197">
        <v>50</v>
      </c>
      <c r="K12" s="197">
        <f t="shared" si="2"/>
        <v>699.30328773119993</v>
      </c>
    </row>
    <row r="13" spans="1:11" x14ac:dyDescent="0.2">
      <c r="A13" s="124">
        <v>8</v>
      </c>
      <c r="B13" s="124" t="s">
        <v>611</v>
      </c>
      <c r="C13" s="124">
        <v>407820</v>
      </c>
      <c r="D13" s="124" t="s">
        <v>623</v>
      </c>
      <c r="E13" s="124" t="s">
        <v>621</v>
      </c>
      <c r="F13" s="197">
        <v>12.89</v>
      </c>
      <c r="G13" s="197">
        <f t="shared" si="1"/>
        <v>12.831943440000002</v>
      </c>
      <c r="H13" s="198">
        <v>0.18659999999999999</v>
      </c>
      <c r="I13" s="197">
        <f t="shared" si="0"/>
        <v>15.226384085904</v>
      </c>
      <c r="J13" s="197">
        <v>21.5</v>
      </c>
      <c r="K13" s="197">
        <f t="shared" si="2"/>
        <v>327.36725784693601</v>
      </c>
    </row>
    <row r="14" spans="1:11" x14ac:dyDescent="0.2">
      <c r="A14" s="124">
        <v>9</v>
      </c>
      <c r="B14" s="124" t="s">
        <v>611</v>
      </c>
      <c r="C14" s="124">
        <v>1106057</v>
      </c>
      <c r="D14" s="124" t="s">
        <v>624</v>
      </c>
      <c r="E14" s="124" t="s">
        <v>615</v>
      </c>
      <c r="F14" s="197">
        <v>442.93</v>
      </c>
      <c r="G14" s="197">
        <f t="shared" si="1"/>
        <v>440.93504328</v>
      </c>
      <c r="H14" s="198">
        <v>0.18659999999999999</v>
      </c>
      <c r="I14" s="197">
        <f t="shared" si="0"/>
        <v>523.21352235604797</v>
      </c>
      <c r="J14" s="197">
        <v>0.02</v>
      </c>
      <c r="K14" s="197">
        <f t="shared" si="2"/>
        <v>10.46427044712096</v>
      </c>
    </row>
    <row r="15" spans="1:11" x14ac:dyDescent="0.2">
      <c r="A15" s="124">
        <v>10</v>
      </c>
      <c r="B15" s="124" t="s">
        <v>611</v>
      </c>
      <c r="C15" s="124">
        <v>1107896</v>
      </c>
      <c r="D15" s="124" t="s">
        <v>625</v>
      </c>
      <c r="E15" s="124" t="s">
        <v>615</v>
      </c>
      <c r="F15" s="197">
        <v>472.76</v>
      </c>
      <c r="G15" s="197">
        <f t="shared" si="1"/>
        <v>470.63068895999999</v>
      </c>
      <c r="H15" s="198">
        <v>0.18659999999999999</v>
      </c>
      <c r="I15" s="197">
        <f t="shared" si="0"/>
        <v>558.45037551993596</v>
      </c>
      <c r="J15" s="197">
        <v>0.8</v>
      </c>
      <c r="K15" s="197">
        <f t="shared" si="2"/>
        <v>446.76030041594879</v>
      </c>
    </row>
    <row r="16" spans="1:11" x14ac:dyDescent="0.2">
      <c r="A16" s="124">
        <v>11</v>
      </c>
      <c r="B16" s="124" t="s">
        <v>611</v>
      </c>
      <c r="C16" s="124">
        <v>1106380</v>
      </c>
      <c r="D16" s="124" t="s">
        <v>626</v>
      </c>
      <c r="E16" s="124" t="s">
        <v>615</v>
      </c>
      <c r="F16" s="197">
        <v>413.22</v>
      </c>
      <c r="G16" s="197">
        <f t="shared" si="1"/>
        <v>411.35885712000004</v>
      </c>
      <c r="H16" s="198">
        <v>0.18659999999999999</v>
      </c>
      <c r="I16" s="197">
        <f t="shared" si="0"/>
        <v>488.11841985859201</v>
      </c>
      <c r="J16" s="197">
        <v>0.8</v>
      </c>
      <c r="K16" s="197">
        <f t="shared" si="2"/>
        <v>390.49473588687363</v>
      </c>
    </row>
    <row r="17" spans="1:11" x14ac:dyDescent="0.2">
      <c r="A17" s="124">
        <v>12</v>
      </c>
      <c r="B17" s="124" t="s">
        <v>627</v>
      </c>
      <c r="C17" s="124" t="s">
        <v>628</v>
      </c>
      <c r="D17" s="124" t="s">
        <v>629</v>
      </c>
      <c r="E17" s="124" t="s">
        <v>630</v>
      </c>
      <c r="F17" s="197" t="s">
        <v>251</v>
      </c>
      <c r="G17" s="197">
        <v>148.88</v>
      </c>
      <c r="H17" s="304">
        <v>0</v>
      </c>
      <c r="I17" s="197">
        <f>G17*(1+H17)</f>
        <v>148.88</v>
      </c>
      <c r="J17" s="197">
        <v>1</v>
      </c>
      <c r="K17" s="197">
        <f t="shared" si="2"/>
        <v>148.88</v>
      </c>
    </row>
    <row r="18" spans="1:11" x14ac:dyDescent="0.2">
      <c r="A18" s="124">
        <v>13</v>
      </c>
      <c r="B18" s="124" t="s">
        <v>611</v>
      </c>
      <c r="C18" s="124">
        <v>1108059</v>
      </c>
      <c r="D18" s="124" t="s">
        <v>631</v>
      </c>
      <c r="E18" s="124" t="s">
        <v>615</v>
      </c>
      <c r="F18" s="197">
        <v>3429.26</v>
      </c>
      <c r="G18" s="197">
        <f t="shared" si="1"/>
        <v>3413.8146129600004</v>
      </c>
      <c r="H18" s="198">
        <v>0.18659999999999999</v>
      </c>
      <c r="I18" s="197">
        <f t="shared" si="0"/>
        <v>4050.8324197383363</v>
      </c>
      <c r="J18" s="197">
        <v>1.7999999999999999E-2</v>
      </c>
      <c r="K18" s="197">
        <f t="shared" si="2"/>
        <v>72.91498355529005</v>
      </c>
    </row>
    <row r="19" spans="1:11" x14ac:dyDescent="0.2">
      <c r="A19" s="124">
        <v>14</v>
      </c>
      <c r="B19" s="124" t="s">
        <v>632</v>
      </c>
      <c r="C19" s="124" t="s">
        <v>633</v>
      </c>
      <c r="D19" s="124" t="s">
        <v>634</v>
      </c>
      <c r="E19" s="124" t="s">
        <v>621</v>
      </c>
      <c r="F19" s="197">
        <v>17.156352439999999</v>
      </c>
      <c r="G19" s="197">
        <v>17.156352439999999</v>
      </c>
      <c r="H19" s="198">
        <v>0.18659999999999999</v>
      </c>
      <c r="I19" s="197">
        <f t="shared" si="0"/>
        <v>20.357727805303998</v>
      </c>
      <c r="J19" s="197">
        <v>40</v>
      </c>
      <c r="K19" s="197">
        <f t="shared" si="2"/>
        <v>814.3091122121599</v>
      </c>
    </row>
    <row r="20" spans="1:11" x14ac:dyDescent="0.2">
      <c r="A20" s="124">
        <v>15</v>
      </c>
      <c r="B20" s="124" t="s">
        <v>632</v>
      </c>
      <c r="C20" s="124" t="s">
        <v>633</v>
      </c>
      <c r="D20" s="124" t="s">
        <v>635</v>
      </c>
      <c r="E20" s="124" t="s">
        <v>621</v>
      </c>
      <c r="F20" s="197">
        <v>17.156352439999999</v>
      </c>
      <c r="G20" s="197">
        <v>17.156352439999999</v>
      </c>
      <c r="H20" s="198">
        <v>0.18659999999999999</v>
      </c>
      <c r="I20" s="197">
        <f t="shared" si="0"/>
        <v>20.357727805303998</v>
      </c>
      <c r="J20" s="197">
        <v>4</v>
      </c>
      <c r="K20" s="197">
        <f t="shared" si="2"/>
        <v>81.430911221215993</v>
      </c>
    </row>
    <row r="21" spans="1:11" x14ac:dyDescent="0.2">
      <c r="A21" s="124">
        <v>16</v>
      </c>
      <c r="B21" s="124" t="s">
        <v>632</v>
      </c>
      <c r="C21" s="124" t="s">
        <v>633</v>
      </c>
      <c r="D21" s="124" t="s">
        <v>636</v>
      </c>
      <c r="E21" s="124" t="s">
        <v>621</v>
      </c>
      <c r="F21" s="197">
        <v>17.156352439999999</v>
      </c>
      <c r="G21" s="197">
        <v>17.156352439999999</v>
      </c>
      <c r="H21" s="198">
        <v>0.18659999999999999</v>
      </c>
      <c r="I21" s="197">
        <f t="shared" si="0"/>
        <v>20.357727805303998</v>
      </c>
      <c r="J21" s="197">
        <v>2</v>
      </c>
      <c r="K21" s="197">
        <f t="shared" si="2"/>
        <v>40.715455610607997</v>
      </c>
    </row>
    <row r="22" spans="1:11" x14ac:dyDescent="0.2">
      <c r="A22" s="124">
        <v>17</v>
      </c>
      <c r="B22" s="124" t="s">
        <v>632</v>
      </c>
      <c r="C22" s="124" t="s">
        <v>633</v>
      </c>
      <c r="D22" s="124" t="s">
        <v>637</v>
      </c>
      <c r="E22" s="124" t="s">
        <v>621</v>
      </c>
      <c r="F22" s="197">
        <v>17.156352439999999</v>
      </c>
      <c r="G22" s="197">
        <v>17.156352439999999</v>
      </c>
      <c r="H22" s="198">
        <v>0.18659999999999999</v>
      </c>
      <c r="I22" s="197">
        <f t="shared" si="0"/>
        <v>20.357727805303998</v>
      </c>
      <c r="J22" s="197">
        <v>5.5</v>
      </c>
      <c r="K22" s="197">
        <f t="shared" si="2"/>
        <v>111.96750292917199</v>
      </c>
    </row>
    <row r="23" spans="1:11" x14ac:dyDescent="0.2">
      <c r="A23" s="124">
        <v>18</v>
      </c>
      <c r="B23" s="124" t="s">
        <v>632</v>
      </c>
      <c r="C23" s="124" t="s">
        <v>633</v>
      </c>
      <c r="D23" s="124" t="s">
        <v>638</v>
      </c>
      <c r="E23" s="124" t="s">
        <v>621</v>
      </c>
      <c r="F23" s="197">
        <v>17.156352439999999</v>
      </c>
      <c r="G23" s="197">
        <v>17.156352439999999</v>
      </c>
      <c r="H23" s="198">
        <v>0.18659999999999999</v>
      </c>
      <c r="I23" s="197">
        <f t="shared" si="0"/>
        <v>20.357727805303998</v>
      </c>
      <c r="J23" s="197">
        <v>2.5</v>
      </c>
      <c r="K23" s="197">
        <f t="shared" si="2"/>
        <v>50.894319513259994</v>
      </c>
    </row>
    <row r="24" spans="1:11" x14ac:dyDescent="0.2">
      <c r="A24" s="124">
        <v>19</v>
      </c>
      <c r="B24" s="124" t="s">
        <v>632</v>
      </c>
      <c r="C24" s="124" t="s">
        <v>633</v>
      </c>
      <c r="D24" s="124" t="s">
        <v>639</v>
      </c>
      <c r="E24" s="124" t="s">
        <v>621</v>
      </c>
      <c r="F24" s="197">
        <v>17.156352439999999</v>
      </c>
      <c r="G24" s="197">
        <v>17.156352439999999</v>
      </c>
      <c r="H24" s="198">
        <v>0.18659999999999999</v>
      </c>
      <c r="I24" s="197">
        <f t="shared" si="0"/>
        <v>20.357727805303998</v>
      </c>
      <c r="J24" s="197">
        <v>17</v>
      </c>
      <c r="K24" s="197">
        <f t="shared" si="2"/>
        <v>346.081372690168</v>
      </c>
    </row>
    <row r="25" spans="1:11" x14ac:dyDescent="0.2">
      <c r="A25" s="124">
        <v>20</v>
      </c>
      <c r="B25" s="124" t="s">
        <v>632</v>
      </c>
      <c r="C25" s="124" t="s">
        <v>633</v>
      </c>
      <c r="D25" s="124" t="s">
        <v>640</v>
      </c>
      <c r="E25" s="124" t="s">
        <v>621</v>
      </c>
      <c r="F25" s="197">
        <v>17.156352439999999</v>
      </c>
      <c r="G25" s="197">
        <v>17.156352439999999</v>
      </c>
      <c r="H25" s="198">
        <v>0.18659999999999999</v>
      </c>
      <c r="I25" s="197">
        <f t="shared" si="0"/>
        <v>20.357727805303998</v>
      </c>
      <c r="J25" s="197">
        <v>5.5</v>
      </c>
      <c r="K25" s="197">
        <f t="shared" si="2"/>
        <v>111.96750292917199</v>
      </c>
    </row>
    <row r="26" spans="1:11" x14ac:dyDescent="0.2">
      <c r="A26" s="124">
        <v>21</v>
      </c>
      <c r="B26" s="124" t="s">
        <v>251</v>
      </c>
      <c r="C26" s="124" t="s">
        <v>251</v>
      </c>
      <c r="D26" s="124" t="s">
        <v>641</v>
      </c>
      <c r="E26" s="124" t="s">
        <v>630</v>
      </c>
      <c r="F26" s="197">
        <v>1.4240383553696876</v>
      </c>
      <c r="G26" s="197">
        <v>1.4240383553696876</v>
      </c>
      <c r="H26" s="198">
        <v>0.18659999999999999</v>
      </c>
      <c r="I26" s="197">
        <f t="shared" si="0"/>
        <v>1.689763912481671</v>
      </c>
      <c r="J26" s="197">
        <v>5</v>
      </c>
      <c r="K26" s="197">
        <f t="shared" si="2"/>
        <v>8.4488195624083549</v>
      </c>
    </row>
    <row r="27" spans="1:11" x14ac:dyDescent="0.2">
      <c r="A27" s="124">
        <v>22</v>
      </c>
      <c r="B27" s="124" t="s">
        <v>251</v>
      </c>
      <c r="C27" s="124" t="s">
        <v>251</v>
      </c>
      <c r="D27" s="124" t="s">
        <v>642</v>
      </c>
      <c r="E27" s="124" t="s">
        <v>630</v>
      </c>
      <c r="F27" s="197">
        <v>1.4240383553696876</v>
      </c>
      <c r="G27" s="197">
        <v>1.4240383553696876</v>
      </c>
      <c r="H27" s="198">
        <v>0.18659999999999999</v>
      </c>
      <c r="I27" s="197">
        <f t="shared" si="0"/>
        <v>1.689763912481671</v>
      </c>
      <c r="J27" s="197">
        <v>76</v>
      </c>
      <c r="K27" s="197">
        <f t="shared" si="2"/>
        <v>128.42205734860698</v>
      </c>
    </row>
    <row r="28" spans="1:11" x14ac:dyDescent="0.2">
      <c r="A28" s="124">
        <v>23</v>
      </c>
      <c r="B28" s="124" t="s">
        <v>251</v>
      </c>
      <c r="C28" s="124" t="s">
        <v>251</v>
      </c>
      <c r="D28" s="124" t="s">
        <v>643</v>
      </c>
      <c r="E28" s="124" t="s">
        <v>630</v>
      </c>
      <c r="F28" s="197">
        <v>110.12088602073793</v>
      </c>
      <c r="G28" s="197">
        <v>110.12088602073793</v>
      </c>
      <c r="H28" s="198">
        <v>0.18659999999999999</v>
      </c>
      <c r="I28" s="197">
        <f t="shared" si="0"/>
        <v>130.66944335220762</v>
      </c>
      <c r="J28" s="197">
        <v>3</v>
      </c>
      <c r="K28" s="197">
        <f t="shared" si="2"/>
        <v>392.00833005662287</v>
      </c>
    </row>
    <row r="29" spans="1:11" x14ac:dyDescent="0.2">
      <c r="A29" s="124">
        <v>24</v>
      </c>
      <c r="B29" s="124" t="s">
        <v>251</v>
      </c>
      <c r="C29" s="124" t="s">
        <v>251</v>
      </c>
      <c r="D29" s="124" t="s">
        <v>644</v>
      </c>
      <c r="E29" s="124" t="s">
        <v>618</v>
      </c>
      <c r="F29" s="197">
        <v>128.16345198327187</v>
      </c>
      <c r="G29" s="197">
        <v>128.16345198327187</v>
      </c>
      <c r="H29" s="198">
        <v>0.18659999999999999</v>
      </c>
      <c r="I29" s="197">
        <f t="shared" si="0"/>
        <v>152.0787521233504</v>
      </c>
      <c r="J29" s="197">
        <v>4</v>
      </c>
      <c r="K29" s="197">
        <f t="shared" si="2"/>
        <v>608.31500849340159</v>
      </c>
    </row>
    <row r="30" spans="1:11" x14ac:dyDescent="0.2">
      <c r="A30" s="124">
        <v>25</v>
      </c>
      <c r="B30" s="124" t="s">
        <v>645</v>
      </c>
      <c r="C30" s="124" t="s">
        <v>646</v>
      </c>
      <c r="D30" s="124" t="s">
        <v>647</v>
      </c>
      <c r="E30" s="124" t="s">
        <v>648</v>
      </c>
      <c r="F30" s="197">
        <v>86.905500000000004</v>
      </c>
      <c r="G30" s="197">
        <f t="shared" si="1"/>
        <v>86.51407762800001</v>
      </c>
      <c r="H30" s="198">
        <v>0.18659999999999999</v>
      </c>
      <c r="I30" s="197">
        <f t="shared" si="0"/>
        <v>102.6576045133848</v>
      </c>
      <c r="J30" s="197">
        <v>1</v>
      </c>
      <c r="K30" s="197">
        <f t="shared" si="2"/>
        <v>102.6576045133848</v>
      </c>
    </row>
    <row r="31" spans="1:11" x14ac:dyDescent="0.2">
      <c r="A31" s="124">
        <v>26</v>
      </c>
      <c r="B31" s="124" t="s">
        <v>251</v>
      </c>
      <c r="C31" s="124" t="s">
        <v>251</v>
      </c>
      <c r="D31" s="124" t="s">
        <v>649</v>
      </c>
      <c r="E31" s="124" t="s">
        <v>630</v>
      </c>
      <c r="F31" s="197">
        <v>1.4240383553696876</v>
      </c>
      <c r="G31" s="197">
        <v>1.4240383553696876</v>
      </c>
      <c r="H31" s="198">
        <v>0.18659999999999999</v>
      </c>
      <c r="I31" s="197">
        <f t="shared" si="0"/>
        <v>1.689763912481671</v>
      </c>
      <c r="J31" s="197">
        <v>2</v>
      </c>
      <c r="K31" s="197">
        <f t="shared" si="2"/>
        <v>3.379527824963342</v>
      </c>
    </row>
    <row r="32" spans="1:11" x14ac:dyDescent="0.2">
      <c r="A32" s="124">
        <v>27</v>
      </c>
      <c r="B32" s="124" t="s">
        <v>632</v>
      </c>
      <c r="C32" s="124">
        <v>96986</v>
      </c>
      <c r="D32" s="124" t="s">
        <v>650</v>
      </c>
      <c r="E32" s="124" t="s">
        <v>651</v>
      </c>
      <c r="F32" s="197">
        <v>166.33448104000001</v>
      </c>
      <c r="G32" s="197">
        <v>166.33448104000001</v>
      </c>
      <c r="H32" s="198">
        <v>0.18659999999999999</v>
      </c>
      <c r="I32" s="197">
        <f t="shared" si="0"/>
        <v>197.37249520206399</v>
      </c>
      <c r="J32" s="197">
        <v>1</v>
      </c>
      <c r="K32" s="197">
        <f t="shared" si="2"/>
        <v>197.37249520206399</v>
      </c>
    </row>
    <row r="33" spans="1:11" x14ac:dyDescent="0.2">
      <c r="A33" s="124">
        <v>28</v>
      </c>
      <c r="B33" s="124" t="s">
        <v>251</v>
      </c>
      <c r="C33" s="124" t="s">
        <v>251</v>
      </c>
      <c r="D33" s="124" t="s">
        <v>652</v>
      </c>
      <c r="E33" s="124" t="s">
        <v>340</v>
      </c>
      <c r="F33" s="197">
        <v>12.67927328</v>
      </c>
      <c r="G33" s="197">
        <v>12.67927328</v>
      </c>
      <c r="H33" s="198">
        <v>0.18659999999999999</v>
      </c>
      <c r="I33" s="197">
        <f t="shared" si="0"/>
        <v>15.045225674047998</v>
      </c>
      <c r="J33" s="197">
        <v>1</v>
      </c>
      <c r="K33" s="197">
        <f t="shared" si="2"/>
        <v>15.045225674047998</v>
      </c>
    </row>
    <row r="34" spans="1:11" x14ac:dyDescent="0.2">
      <c r="A34" s="124">
        <v>29</v>
      </c>
      <c r="B34" s="124" t="s">
        <v>653</v>
      </c>
      <c r="C34" s="124" t="s">
        <v>654</v>
      </c>
      <c r="D34" s="124" t="s">
        <v>655</v>
      </c>
      <c r="E34" s="124" t="s">
        <v>656</v>
      </c>
      <c r="F34" s="197">
        <v>17.201028104043786</v>
      </c>
      <c r="G34" s="197">
        <v>17.201028104043786</v>
      </c>
      <c r="H34" s="198">
        <v>0.18659999999999999</v>
      </c>
      <c r="I34" s="197">
        <f t="shared" si="0"/>
        <v>20.410739948258353</v>
      </c>
      <c r="J34" s="197">
        <v>1</v>
      </c>
      <c r="K34" s="197">
        <f t="shared" si="2"/>
        <v>20.410739948258353</v>
      </c>
    </row>
    <row r="35" spans="1:11" x14ac:dyDescent="0.2">
      <c r="A35" s="124">
        <v>30</v>
      </c>
      <c r="B35" s="124" t="s">
        <v>251</v>
      </c>
      <c r="C35" s="124" t="s">
        <v>251</v>
      </c>
      <c r="D35" s="124" t="s">
        <v>657</v>
      </c>
      <c r="E35" s="124" t="s">
        <v>656</v>
      </c>
      <c r="F35" s="197">
        <v>3.9730670114814282</v>
      </c>
      <c r="G35" s="197">
        <v>3.9730670114814282</v>
      </c>
      <c r="H35" s="198">
        <v>0.18659999999999999</v>
      </c>
      <c r="I35" s="197">
        <f t="shared" si="0"/>
        <v>4.7144413158238621</v>
      </c>
      <c r="J35" s="197">
        <v>1</v>
      </c>
      <c r="K35" s="197">
        <f t="shared" si="2"/>
        <v>4.7144413158238621</v>
      </c>
    </row>
    <row r="36" spans="1:11" x14ac:dyDescent="0.2">
      <c r="A36" s="124">
        <v>31</v>
      </c>
      <c r="B36" s="124" t="s">
        <v>251</v>
      </c>
      <c r="C36" s="124" t="s">
        <v>251</v>
      </c>
      <c r="D36" s="124" t="s">
        <v>658</v>
      </c>
      <c r="E36" s="124" t="s">
        <v>656</v>
      </c>
      <c r="F36" s="197">
        <v>7.8322109545332816</v>
      </c>
      <c r="G36" s="197">
        <v>7.8322109545332816</v>
      </c>
      <c r="H36" s="198">
        <v>0.18659999999999999</v>
      </c>
      <c r="I36" s="197">
        <f t="shared" si="0"/>
        <v>9.2937015186491916</v>
      </c>
      <c r="J36" s="197">
        <v>1</v>
      </c>
      <c r="K36" s="197">
        <f t="shared" si="2"/>
        <v>9.2937015186491916</v>
      </c>
    </row>
    <row r="37" spans="1:11" x14ac:dyDescent="0.2">
      <c r="A37" s="124">
        <v>32</v>
      </c>
      <c r="B37" s="124" t="s">
        <v>251</v>
      </c>
      <c r="C37" s="124" t="s">
        <v>251</v>
      </c>
      <c r="D37" s="124" t="s">
        <v>659</v>
      </c>
      <c r="E37" s="124" t="s">
        <v>656</v>
      </c>
      <c r="F37" s="197">
        <v>8.971441638829031</v>
      </c>
      <c r="G37" s="197">
        <v>8.971441638829031</v>
      </c>
      <c r="H37" s="198">
        <v>0.18659999999999999</v>
      </c>
      <c r="I37" s="197">
        <f t="shared" si="0"/>
        <v>10.645512648634528</v>
      </c>
      <c r="J37" s="197">
        <v>1</v>
      </c>
      <c r="K37" s="197">
        <f t="shared" si="2"/>
        <v>10.645512648634528</v>
      </c>
    </row>
    <row r="38" spans="1:11" x14ac:dyDescent="0.2">
      <c r="A38" s="124">
        <v>33</v>
      </c>
      <c r="B38" s="124" t="s">
        <v>653</v>
      </c>
      <c r="C38" s="124" t="s">
        <v>660</v>
      </c>
      <c r="D38" s="124" t="s">
        <v>661</v>
      </c>
      <c r="E38" s="124" t="s">
        <v>656</v>
      </c>
      <c r="F38" s="197">
        <v>50.878668253986142</v>
      </c>
      <c r="G38" s="197">
        <v>50.878668253986142</v>
      </c>
      <c r="H38" s="198">
        <v>0.18659999999999999</v>
      </c>
      <c r="I38" s="197">
        <f t="shared" si="0"/>
        <v>60.372627750179952</v>
      </c>
      <c r="J38" s="197">
        <v>1</v>
      </c>
      <c r="K38" s="197">
        <f t="shared" si="2"/>
        <v>60.372627750179952</v>
      </c>
    </row>
    <row r="39" spans="1:11" x14ac:dyDescent="0.2">
      <c r="A39" s="124">
        <v>34</v>
      </c>
      <c r="B39" s="124" t="s">
        <v>653</v>
      </c>
      <c r="C39" s="124" t="s">
        <v>662</v>
      </c>
      <c r="D39" s="124" t="s">
        <v>663</v>
      </c>
      <c r="E39" s="124" t="s">
        <v>656</v>
      </c>
      <c r="F39" s="197">
        <v>38.871857417919742</v>
      </c>
      <c r="G39" s="197">
        <v>38.871857417919742</v>
      </c>
      <c r="H39" s="198">
        <v>0.18659999999999999</v>
      </c>
      <c r="I39" s="197">
        <f t="shared" si="0"/>
        <v>46.125346012103563</v>
      </c>
      <c r="J39" s="197">
        <v>1</v>
      </c>
      <c r="K39" s="197">
        <f t="shared" si="2"/>
        <v>46.125346012103563</v>
      </c>
    </row>
    <row r="40" spans="1:11" x14ac:dyDescent="0.2">
      <c r="A40" s="57"/>
      <c r="B40" s="57"/>
      <c r="D40" s="57"/>
      <c r="E40" s="57"/>
      <c r="F40" s="199"/>
      <c r="G40" s="199"/>
      <c r="H40" s="199"/>
      <c r="I40" s="199"/>
      <c r="J40" s="199"/>
      <c r="K40" s="200"/>
    </row>
    <row r="41" spans="1:11" x14ac:dyDescent="0.2">
      <c r="A41" s="57"/>
      <c r="B41" s="57"/>
      <c r="D41" s="57"/>
      <c r="E41" s="57"/>
      <c r="F41" s="199"/>
      <c r="G41" s="199"/>
      <c r="H41" s="199"/>
      <c r="I41" s="199"/>
      <c r="J41" s="199"/>
      <c r="K41" s="200"/>
    </row>
    <row r="42" spans="1:11" x14ac:dyDescent="0.2">
      <c r="A42" s="417" t="s">
        <v>664</v>
      </c>
      <c r="B42" s="417"/>
      <c r="C42" s="417"/>
      <c r="D42" s="417"/>
      <c r="E42" s="417"/>
      <c r="F42" s="417"/>
      <c r="G42" s="417"/>
      <c r="H42" s="417"/>
      <c r="I42" s="417"/>
      <c r="J42" s="417"/>
      <c r="K42" s="168">
        <f>SUM(K44:K53)</f>
        <v>204807.08920000002</v>
      </c>
    </row>
    <row r="43" spans="1:11" x14ac:dyDescent="0.2">
      <c r="A43" s="41" t="s">
        <v>602</v>
      </c>
      <c r="B43" s="41" t="s">
        <v>604</v>
      </c>
      <c r="C43" s="41" t="s">
        <v>605</v>
      </c>
      <c r="D43" s="41" t="s">
        <v>606</v>
      </c>
      <c r="E43" s="41" t="s">
        <v>111</v>
      </c>
      <c r="F43" s="196" t="s">
        <v>919</v>
      </c>
      <c r="G43" s="196" t="s">
        <v>917</v>
      </c>
      <c r="H43" s="196" t="s">
        <v>607</v>
      </c>
      <c r="I43" s="196" t="s">
        <v>608</v>
      </c>
      <c r="J43" s="196" t="s">
        <v>609</v>
      </c>
      <c r="K43" s="196" t="s">
        <v>610</v>
      </c>
    </row>
    <row r="44" spans="1:11" x14ac:dyDescent="0.2">
      <c r="A44" s="124">
        <v>1</v>
      </c>
      <c r="B44" s="124" t="s">
        <v>611</v>
      </c>
      <c r="C44" s="124">
        <v>4805757</v>
      </c>
      <c r="D44" s="42" t="s">
        <v>665</v>
      </c>
      <c r="E44" s="124" t="s">
        <v>615</v>
      </c>
      <c r="F44" s="140">
        <v>6.94</v>
      </c>
      <c r="G44" s="140">
        <f t="shared" ref="G44:G53" si="3">F44*$K$1</f>
        <v>6.9087422400000005</v>
      </c>
      <c r="H44" s="198">
        <v>0.18659999999999999</v>
      </c>
      <c r="I44" s="197">
        <f>G44*(1+H44)</f>
        <v>8.1979135419840006</v>
      </c>
      <c r="J44" s="140">
        <v>1113.5999999999999</v>
      </c>
      <c r="K44" s="140">
        <f>F44*J44</f>
        <v>7728.384</v>
      </c>
    </row>
    <row r="45" spans="1:11" x14ac:dyDescent="0.2">
      <c r="A45" s="124">
        <v>2</v>
      </c>
      <c r="B45" s="124" t="s">
        <v>611</v>
      </c>
      <c r="C45" s="124">
        <v>705173</v>
      </c>
      <c r="D45" s="42" t="s">
        <v>666</v>
      </c>
      <c r="E45" s="124" t="s">
        <v>667</v>
      </c>
      <c r="F45" s="140">
        <v>2233.25</v>
      </c>
      <c r="G45" s="140">
        <f t="shared" si="3"/>
        <v>2223.1914420000003</v>
      </c>
      <c r="H45" s="198">
        <v>0.18659999999999999</v>
      </c>
      <c r="I45" s="197">
        <f t="shared" ref="I45:I53" si="4">G45*(1+H45)</f>
        <v>2638.0389650771999</v>
      </c>
      <c r="J45" s="140">
        <v>32</v>
      </c>
      <c r="K45" s="140">
        <f t="shared" ref="K45:K53" si="5">F45*J45</f>
        <v>71464</v>
      </c>
    </row>
    <row r="46" spans="1:11" x14ac:dyDescent="0.2">
      <c r="A46" s="124">
        <v>3</v>
      </c>
      <c r="B46" s="124" t="s">
        <v>611</v>
      </c>
      <c r="C46" s="124">
        <v>705225</v>
      </c>
      <c r="D46" s="42" t="s">
        <v>668</v>
      </c>
      <c r="E46" s="124" t="s">
        <v>630</v>
      </c>
      <c r="F46" s="140">
        <v>11266.33</v>
      </c>
      <c r="G46" s="140">
        <f t="shared" si="3"/>
        <v>11215.58644968</v>
      </c>
      <c r="H46" s="198">
        <v>0.18659999999999999</v>
      </c>
      <c r="I46" s="197">
        <f t="shared" si="4"/>
        <v>13308.414881190287</v>
      </c>
      <c r="J46" s="140">
        <v>2</v>
      </c>
      <c r="K46" s="140">
        <f t="shared" si="5"/>
        <v>22532.66</v>
      </c>
    </row>
    <row r="47" spans="1:11" x14ac:dyDescent="0.2">
      <c r="A47" s="124">
        <v>4</v>
      </c>
      <c r="B47" s="124" t="s">
        <v>611</v>
      </c>
      <c r="C47" s="124">
        <v>4815671</v>
      </c>
      <c r="D47" s="42" t="s">
        <v>669</v>
      </c>
      <c r="E47" s="124" t="s">
        <v>615</v>
      </c>
      <c r="F47" s="140">
        <v>20.239999999999998</v>
      </c>
      <c r="G47" s="140">
        <f t="shared" si="3"/>
        <v>20.148839039999999</v>
      </c>
      <c r="H47" s="198">
        <v>0.18659999999999999</v>
      </c>
      <c r="I47" s="197">
        <f t="shared" si="4"/>
        <v>23.908612404863995</v>
      </c>
      <c r="J47" s="140">
        <v>861.12</v>
      </c>
      <c r="K47" s="140">
        <f t="shared" si="5"/>
        <v>17429.068799999997</v>
      </c>
    </row>
    <row r="48" spans="1:11" x14ac:dyDescent="0.2">
      <c r="A48" s="124">
        <v>5</v>
      </c>
      <c r="B48" s="124" t="s">
        <v>611</v>
      </c>
      <c r="C48" s="124">
        <v>1106165</v>
      </c>
      <c r="D48" s="42" t="s">
        <v>670</v>
      </c>
      <c r="E48" s="124" t="s">
        <v>615</v>
      </c>
      <c r="F48" s="140">
        <v>404.79</v>
      </c>
      <c r="G48" s="140">
        <f t="shared" si="3"/>
        <v>402.96682584000001</v>
      </c>
      <c r="H48" s="198">
        <v>0.18659999999999999</v>
      </c>
      <c r="I48" s="197">
        <f t="shared" si="4"/>
        <v>478.16043554174399</v>
      </c>
      <c r="J48" s="140">
        <v>10.920000000000002</v>
      </c>
      <c r="K48" s="140">
        <f t="shared" si="5"/>
        <v>4420.3068000000012</v>
      </c>
    </row>
    <row r="49" spans="1:11" x14ac:dyDescent="0.2">
      <c r="A49" s="124">
        <v>6</v>
      </c>
      <c r="B49" s="124" t="s">
        <v>611</v>
      </c>
      <c r="C49" s="124">
        <v>4413013</v>
      </c>
      <c r="D49" s="42" t="s">
        <v>671</v>
      </c>
      <c r="E49" s="124" t="s">
        <v>667</v>
      </c>
      <c r="F49" s="140">
        <v>86.47</v>
      </c>
      <c r="G49" s="140">
        <f t="shared" si="3"/>
        <v>86.080539119999997</v>
      </c>
      <c r="H49" s="198">
        <v>0.18659999999999999</v>
      </c>
      <c r="I49" s="197">
        <f t="shared" si="4"/>
        <v>102.14316771979199</v>
      </c>
      <c r="J49" s="140">
        <v>840</v>
      </c>
      <c r="K49" s="140">
        <f>F49*J49</f>
        <v>72634.8</v>
      </c>
    </row>
    <row r="50" spans="1:11" x14ac:dyDescent="0.2">
      <c r="A50" s="124">
        <v>7</v>
      </c>
      <c r="B50" s="124" t="s">
        <v>611</v>
      </c>
      <c r="C50" s="124">
        <v>5213352</v>
      </c>
      <c r="D50" s="42" t="s">
        <v>672</v>
      </c>
      <c r="E50" s="124" t="s">
        <v>630</v>
      </c>
      <c r="F50" s="140">
        <v>1044.93</v>
      </c>
      <c r="G50" s="140">
        <f t="shared" si="3"/>
        <v>1040.2236352800001</v>
      </c>
      <c r="H50" s="198">
        <v>0.18659999999999999</v>
      </c>
      <c r="I50" s="197">
        <f t="shared" si="4"/>
        <v>1234.3293656232479</v>
      </c>
      <c r="J50" s="140">
        <v>4</v>
      </c>
      <c r="K50" s="140">
        <f t="shared" si="5"/>
        <v>4179.72</v>
      </c>
    </row>
    <row r="51" spans="1:11" x14ac:dyDescent="0.2">
      <c r="A51" s="124">
        <v>8</v>
      </c>
      <c r="B51" s="124" t="s">
        <v>611</v>
      </c>
      <c r="C51" s="124">
        <v>5213572</v>
      </c>
      <c r="D51" s="42" t="s">
        <v>673</v>
      </c>
      <c r="E51" s="124" t="s">
        <v>618</v>
      </c>
      <c r="F51" s="140">
        <v>618.21</v>
      </c>
      <c r="G51" s="140">
        <f t="shared" si="3"/>
        <v>615.42558216000009</v>
      </c>
      <c r="H51" s="198">
        <v>0.18659999999999999</v>
      </c>
      <c r="I51" s="197">
        <f t="shared" si="4"/>
        <v>730.263995791056</v>
      </c>
      <c r="J51" s="140">
        <v>5.76</v>
      </c>
      <c r="K51" s="140">
        <f t="shared" si="5"/>
        <v>3560.8896</v>
      </c>
    </row>
    <row r="52" spans="1:11" x14ac:dyDescent="0.2">
      <c r="A52" s="124">
        <v>9</v>
      </c>
      <c r="B52" s="124" t="s">
        <v>611</v>
      </c>
      <c r="C52" s="124">
        <v>4413996</v>
      </c>
      <c r="D52" s="42" t="s">
        <v>674</v>
      </c>
      <c r="E52" s="124" t="s">
        <v>618</v>
      </c>
      <c r="F52" s="140">
        <v>11.16</v>
      </c>
      <c r="G52" s="140">
        <f t="shared" si="3"/>
        <v>11.10973536</v>
      </c>
      <c r="H52" s="198">
        <v>0.18659999999999999</v>
      </c>
      <c r="I52" s="197">
        <f t="shared" si="4"/>
        <v>13.182811978175998</v>
      </c>
      <c r="J52" s="140">
        <v>20</v>
      </c>
      <c r="K52" s="140">
        <f t="shared" si="5"/>
        <v>223.2</v>
      </c>
    </row>
    <row r="53" spans="1:11" x14ac:dyDescent="0.2">
      <c r="A53" s="124">
        <v>10</v>
      </c>
      <c r="B53" s="124" t="s">
        <v>611</v>
      </c>
      <c r="C53" s="124">
        <v>4413905</v>
      </c>
      <c r="D53" s="42" t="s">
        <v>675</v>
      </c>
      <c r="E53" s="124" t="s">
        <v>618</v>
      </c>
      <c r="F53" s="140">
        <v>6.47</v>
      </c>
      <c r="G53" s="140">
        <f t="shared" si="3"/>
        <v>6.4408591199999998</v>
      </c>
      <c r="H53" s="198">
        <v>0.18659999999999999</v>
      </c>
      <c r="I53" s="197">
        <f t="shared" si="4"/>
        <v>7.6427234317919988</v>
      </c>
      <c r="J53" s="140">
        <v>98</v>
      </c>
      <c r="K53" s="140">
        <f t="shared" si="5"/>
        <v>634.05999999999995</v>
      </c>
    </row>
    <row r="54" spans="1:11" x14ac:dyDescent="0.2">
      <c r="K54" s="201"/>
    </row>
    <row r="55" spans="1:11" x14ac:dyDescent="0.2">
      <c r="A55" s="417" t="s">
        <v>676</v>
      </c>
      <c r="B55" s="417"/>
      <c r="C55" s="417"/>
      <c r="D55" s="417"/>
      <c r="E55" s="417"/>
      <c r="F55" s="417"/>
      <c r="G55" s="417"/>
      <c r="H55" s="417"/>
      <c r="I55" s="417"/>
      <c r="J55" s="417"/>
      <c r="K55" s="168">
        <f>SUM(K57:K68)</f>
        <v>61433.719988323537</v>
      </c>
    </row>
    <row r="56" spans="1:11" x14ac:dyDescent="0.2">
      <c r="A56" s="41" t="s">
        <v>602</v>
      </c>
      <c r="B56" s="41" t="s">
        <v>604</v>
      </c>
      <c r="C56" s="41" t="s">
        <v>605</v>
      </c>
      <c r="D56" s="41" t="s">
        <v>606</v>
      </c>
      <c r="E56" s="41" t="s">
        <v>111</v>
      </c>
      <c r="F56" s="196" t="s">
        <v>919</v>
      </c>
      <c r="G56" s="196" t="s">
        <v>917</v>
      </c>
      <c r="H56" s="196" t="s">
        <v>607</v>
      </c>
      <c r="I56" s="196" t="s">
        <v>608</v>
      </c>
      <c r="J56" s="196" t="s">
        <v>609</v>
      </c>
      <c r="K56" s="196" t="s">
        <v>610</v>
      </c>
    </row>
    <row r="57" spans="1:11" x14ac:dyDescent="0.2">
      <c r="A57" s="124">
        <v>1</v>
      </c>
      <c r="B57" s="124" t="s">
        <v>611</v>
      </c>
      <c r="C57" s="124">
        <v>2004504</v>
      </c>
      <c r="D57" s="42" t="s">
        <v>614</v>
      </c>
      <c r="E57" s="124" t="s">
        <v>615</v>
      </c>
      <c r="F57" s="147">
        <v>16.55</v>
      </c>
      <c r="G57" s="147">
        <f>F57*$K$1</f>
        <v>16.475458800000002</v>
      </c>
      <c r="H57" s="198">
        <v>0.18659999999999999</v>
      </c>
      <c r="I57" s="197">
        <f>G57*(1+H57)</f>
        <v>19.549779412079999</v>
      </c>
      <c r="J57" s="147">
        <v>112.10999999999999</v>
      </c>
      <c r="K57" s="103">
        <f>I57*J57</f>
        <v>2191.7257698882886</v>
      </c>
    </row>
    <row r="58" spans="1:11" x14ac:dyDescent="0.2">
      <c r="A58" s="124">
        <v>2</v>
      </c>
      <c r="B58" s="124" t="s">
        <v>611</v>
      </c>
      <c r="C58" s="124">
        <v>4805754</v>
      </c>
      <c r="D58" s="42" t="s">
        <v>616</v>
      </c>
      <c r="E58" s="124" t="s">
        <v>615</v>
      </c>
      <c r="F58" s="147">
        <v>7.88</v>
      </c>
      <c r="G58" s="147">
        <f t="shared" ref="G58:G68" si="6">F58*$K$1</f>
        <v>7.84450848</v>
      </c>
      <c r="H58" s="198">
        <v>0.18659999999999999</v>
      </c>
      <c r="I58" s="197">
        <f t="shared" ref="I58:I68" si="7">G58*(1+H58)</f>
        <v>9.3082937623679989</v>
      </c>
      <c r="J58" s="147">
        <v>69.29849999999999</v>
      </c>
      <c r="K58" s="103">
        <f t="shared" ref="K58:K68" si="8">I58*J58</f>
        <v>645.05079529145871</v>
      </c>
    </row>
    <row r="59" spans="1:11" x14ac:dyDescent="0.2">
      <c r="A59" s="124">
        <v>3</v>
      </c>
      <c r="B59" s="124" t="s">
        <v>611</v>
      </c>
      <c r="C59" s="124">
        <v>4805754</v>
      </c>
      <c r="D59" s="42" t="s">
        <v>616</v>
      </c>
      <c r="E59" s="124" t="s">
        <v>618</v>
      </c>
      <c r="F59" s="147">
        <v>7.88</v>
      </c>
      <c r="G59" s="147">
        <f t="shared" si="6"/>
        <v>7.84450848</v>
      </c>
      <c r="H59" s="198">
        <v>0.18659999999999999</v>
      </c>
      <c r="I59" s="197">
        <f t="shared" si="7"/>
        <v>9.3082937623679989</v>
      </c>
      <c r="J59" s="147">
        <v>28.298999999999999</v>
      </c>
      <c r="K59" s="103">
        <f t="shared" si="8"/>
        <v>263.41540518125197</v>
      </c>
    </row>
    <row r="60" spans="1:11" x14ac:dyDescent="0.2">
      <c r="A60" s="124">
        <v>4</v>
      </c>
      <c r="B60" s="124" t="s">
        <v>611</v>
      </c>
      <c r="C60" s="124">
        <v>2108169</v>
      </c>
      <c r="D60" s="42" t="s">
        <v>677</v>
      </c>
      <c r="E60" s="124" t="s">
        <v>618</v>
      </c>
      <c r="F60" s="147">
        <v>51.76</v>
      </c>
      <c r="G60" s="147">
        <f t="shared" si="6"/>
        <v>51.526872959999999</v>
      </c>
      <c r="H60" s="198">
        <v>0.18659999999999999</v>
      </c>
      <c r="I60" s="197">
        <f t="shared" si="7"/>
        <v>61.14178745433599</v>
      </c>
      <c r="J60" s="147">
        <v>123.10499999999999</v>
      </c>
      <c r="K60" s="103">
        <f t="shared" si="8"/>
        <v>7526.8597445660316</v>
      </c>
    </row>
    <row r="61" spans="1:11" x14ac:dyDescent="0.2">
      <c r="A61" s="124">
        <v>5</v>
      </c>
      <c r="B61" s="124" t="s">
        <v>611</v>
      </c>
      <c r="C61" s="124">
        <v>1106057</v>
      </c>
      <c r="D61" s="42" t="s">
        <v>624</v>
      </c>
      <c r="E61" s="124" t="s">
        <v>615</v>
      </c>
      <c r="F61" s="147">
        <v>442.93</v>
      </c>
      <c r="G61" s="147">
        <f t="shared" si="6"/>
        <v>440.93504328</v>
      </c>
      <c r="H61" s="198">
        <v>0.18659999999999999</v>
      </c>
      <c r="I61" s="197">
        <f t="shared" si="7"/>
        <v>523.21352235604797</v>
      </c>
      <c r="J61" s="147">
        <v>0.75</v>
      </c>
      <c r="K61" s="103">
        <f t="shared" si="8"/>
        <v>392.41014176703595</v>
      </c>
    </row>
    <row r="62" spans="1:11" x14ac:dyDescent="0.2">
      <c r="A62" s="124">
        <v>6</v>
      </c>
      <c r="B62" s="124" t="s">
        <v>611</v>
      </c>
      <c r="C62" s="124">
        <v>1107896</v>
      </c>
      <c r="D62" s="42" t="s">
        <v>625</v>
      </c>
      <c r="E62" s="124" t="s">
        <v>615</v>
      </c>
      <c r="F62" s="147">
        <v>472.76</v>
      </c>
      <c r="G62" s="147">
        <f t="shared" si="6"/>
        <v>470.63068895999999</v>
      </c>
      <c r="H62" s="198">
        <v>0.18659999999999999</v>
      </c>
      <c r="I62" s="197">
        <f t="shared" si="7"/>
        <v>558.45037551993596</v>
      </c>
      <c r="J62" s="147">
        <v>17.399999999999999</v>
      </c>
      <c r="K62" s="103">
        <f t="shared" si="8"/>
        <v>9717.0365340468852</v>
      </c>
    </row>
    <row r="63" spans="1:11" x14ac:dyDescent="0.2">
      <c r="A63" s="124">
        <v>7</v>
      </c>
      <c r="B63" s="124" t="s">
        <v>611</v>
      </c>
      <c r="C63" s="124">
        <v>3108001</v>
      </c>
      <c r="D63" s="42" t="s">
        <v>617</v>
      </c>
      <c r="E63" s="124" t="s">
        <v>618</v>
      </c>
      <c r="F63" s="147">
        <v>75.17</v>
      </c>
      <c r="G63" s="147">
        <f t="shared" si="6"/>
        <v>74.83143432</v>
      </c>
      <c r="H63" s="198">
        <v>0.18659999999999999</v>
      </c>
      <c r="I63" s="197">
        <f t="shared" si="7"/>
        <v>88.794979964111988</v>
      </c>
      <c r="J63" s="147">
        <v>173.25</v>
      </c>
      <c r="K63" s="103">
        <f t="shared" si="8"/>
        <v>15383.730278782403</v>
      </c>
    </row>
    <row r="64" spans="1:11" x14ac:dyDescent="0.2">
      <c r="A64" s="124">
        <v>8</v>
      </c>
      <c r="B64" s="124" t="s">
        <v>611</v>
      </c>
      <c r="C64" s="124">
        <v>407819</v>
      </c>
      <c r="D64" s="42" t="s">
        <v>622</v>
      </c>
      <c r="E64" s="124" t="s">
        <v>621</v>
      </c>
      <c r="F64" s="147">
        <v>11.65</v>
      </c>
      <c r="G64" s="147">
        <f t="shared" si="6"/>
        <v>11.597528400000002</v>
      </c>
      <c r="H64" s="198">
        <v>0.18659999999999999</v>
      </c>
      <c r="I64" s="197">
        <f t="shared" si="7"/>
        <v>13.761627199440001</v>
      </c>
      <c r="J64" s="147">
        <v>1360.5</v>
      </c>
      <c r="K64" s="103">
        <f t="shared" si="8"/>
        <v>18722.693804838123</v>
      </c>
    </row>
    <row r="65" spans="1:11" x14ac:dyDescent="0.2">
      <c r="A65" s="124">
        <v>9</v>
      </c>
      <c r="B65" s="124" t="s">
        <v>678</v>
      </c>
      <c r="C65" s="124">
        <v>141102</v>
      </c>
      <c r="D65" s="42" t="s">
        <v>679</v>
      </c>
      <c r="E65" s="124" t="s">
        <v>630</v>
      </c>
      <c r="F65" s="147">
        <v>1017.37840944</v>
      </c>
      <c r="G65" s="147">
        <f>F65*1.156868</f>
        <v>1176.972525772034</v>
      </c>
      <c r="H65" s="198">
        <v>0.18659999999999999</v>
      </c>
      <c r="I65" s="197">
        <f t="shared" si="7"/>
        <v>1396.5955990810955</v>
      </c>
      <c r="J65" s="147">
        <v>1.5</v>
      </c>
      <c r="K65" s="103">
        <f t="shared" si="8"/>
        <v>2094.8933986216434</v>
      </c>
    </row>
    <row r="66" spans="1:11" x14ac:dyDescent="0.2">
      <c r="A66" s="124">
        <v>10</v>
      </c>
      <c r="B66" s="124" t="s">
        <v>611</v>
      </c>
      <c r="C66" s="124">
        <v>909620</v>
      </c>
      <c r="D66" s="42" t="s">
        <v>680</v>
      </c>
      <c r="E66" s="124" t="s">
        <v>618</v>
      </c>
      <c r="F66" s="147">
        <v>125.19</v>
      </c>
      <c r="G66" s="147">
        <f t="shared" si="6"/>
        <v>124.62614424</v>
      </c>
      <c r="H66" s="198">
        <v>0.18659999999999999</v>
      </c>
      <c r="I66" s="197">
        <f t="shared" si="7"/>
        <v>147.88138275518398</v>
      </c>
      <c r="J66" s="147">
        <v>1.6500000000000001</v>
      </c>
      <c r="K66" s="103">
        <f t="shared" si="8"/>
        <v>244.00428154605359</v>
      </c>
    </row>
    <row r="67" spans="1:11" x14ac:dyDescent="0.2">
      <c r="A67" s="124">
        <v>11</v>
      </c>
      <c r="B67" s="124" t="s">
        <v>611</v>
      </c>
      <c r="C67" s="124">
        <v>2003935</v>
      </c>
      <c r="D67" s="42" t="s">
        <v>681</v>
      </c>
      <c r="E67" s="124" t="s">
        <v>618</v>
      </c>
      <c r="F67" s="147">
        <v>10.5</v>
      </c>
      <c r="G67" s="147">
        <f t="shared" si="6"/>
        <v>10.452708000000001</v>
      </c>
      <c r="H67" s="198">
        <v>0.18659999999999999</v>
      </c>
      <c r="I67" s="197">
        <f t="shared" si="7"/>
        <v>12.4031833128</v>
      </c>
      <c r="J67" s="147">
        <v>1.6500000000000001</v>
      </c>
      <c r="K67" s="103">
        <f t="shared" si="8"/>
        <v>20.465252466120003</v>
      </c>
    </row>
    <row r="68" spans="1:11" x14ac:dyDescent="0.2">
      <c r="A68" s="124">
        <v>12</v>
      </c>
      <c r="B68" s="124" t="s">
        <v>611</v>
      </c>
      <c r="C68" s="124">
        <v>5901640</v>
      </c>
      <c r="D68" s="42" t="s">
        <v>682</v>
      </c>
      <c r="E68" s="124" t="s">
        <v>683</v>
      </c>
      <c r="F68" s="147">
        <v>0.55000000000000004</v>
      </c>
      <c r="G68" s="147">
        <f t="shared" si="6"/>
        <v>0.54752280000000009</v>
      </c>
      <c r="H68" s="198">
        <v>0.18659999999999999</v>
      </c>
      <c r="I68" s="197">
        <f t="shared" si="7"/>
        <v>0.64969055448000002</v>
      </c>
      <c r="J68" s="147">
        <v>6513</v>
      </c>
      <c r="K68" s="103">
        <f t="shared" si="8"/>
        <v>4231.4345813282398</v>
      </c>
    </row>
    <row r="69" spans="1:11" x14ac:dyDescent="0.2">
      <c r="K69" s="201"/>
    </row>
  </sheetData>
  <mergeCells count="3">
    <mergeCell ref="A4:J4"/>
    <mergeCell ref="A42:J42"/>
    <mergeCell ref="A55:J55"/>
  </mergeCells>
  <pageMargins left="0.511811024" right="0.511811024" top="0.78740157499999996" bottom="0.78740157499999996" header="0.31496062000000002" footer="0.3149606200000000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2:D16"/>
  <sheetViews>
    <sheetView workbookViewId="0">
      <selection activeCell="C5" sqref="C5"/>
    </sheetView>
  </sheetViews>
  <sheetFormatPr defaultColWidth="9.140625" defaultRowHeight="12.75" x14ac:dyDescent="0.2"/>
  <cols>
    <col min="1" max="1" width="52" style="1" bestFit="1" customWidth="1"/>
    <col min="2" max="2" width="16.28515625" style="1" bestFit="1" customWidth="1"/>
    <col min="3" max="3" width="15.5703125" style="1" bestFit="1" customWidth="1"/>
    <col min="4" max="4" width="16.140625" style="1" bestFit="1" customWidth="1"/>
    <col min="5" max="16384" width="9.140625" style="1"/>
  </cols>
  <sheetData>
    <row r="2" spans="1:4" x14ac:dyDescent="0.2">
      <c r="A2" s="6" t="s">
        <v>586</v>
      </c>
    </row>
    <row r="4" spans="1:4" x14ac:dyDescent="0.2">
      <c r="A4" s="2" t="s">
        <v>587</v>
      </c>
      <c r="B4" s="2" t="s">
        <v>588</v>
      </c>
      <c r="C4" s="2" t="s">
        <v>916</v>
      </c>
      <c r="D4" s="2" t="s">
        <v>589</v>
      </c>
    </row>
    <row r="5" spans="1:4" x14ac:dyDescent="0.2">
      <c r="A5" s="3" t="s">
        <v>590</v>
      </c>
      <c r="B5" s="3">
        <v>525</v>
      </c>
      <c r="C5" s="4">
        <v>35.36</v>
      </c>
      <c r="D5" s="5">
        <f>B5*C5</f>
        <v>18564</v>
      </c>
    </row>
    <row r="6" spans="1:4" x14ac:dyDescent="0.2">
      <c r="A6" s="3" t="s">
        <v>591</v>
      </c>
      <c r="B6" s="3">
        <v>2250</v>
      </c>
      <c r="C6" s="4">
        <v>35.36</v>
      </c>
      <c r="D6" s="5">
        <f t="shared" ref="D6:D16" si="0">B6*C6</f>
        <v>79560</v>
      </c>
    </row>
    <row r="7" spans="1:4" x14ac:dyDescent="0.2">
      <c r="A7" s="3" t="s">
        <v>592</v>
      </c>
      <c r="B7" s="3">
        <v>6750</v>
      </c>
      <c r="C7" s="4">
        <v>35.36</v>
      </c>
      <c r="D7" s="5">
        <f t="shared" si="0"/>
        <v>238680</v>
      </c>
    </row>
    <row r="8" spans="1:4" x14ac:dyDescent="0.2">
      <c r="A8" s="3" t="s">
        <v>593</v>
      </c>
      <c r="B8" s="3">
        <v>525</v>
      </c>
      <c r="C8" s="4">
        <v>35.36</v>
      </c>
      <c r="D8" s="5">
        <f t="shared" si="0"/>
        <v>18564</v>
      </c>
    </row>
    <row r="9" spans="1:4" x14ac:dyDescent="0.2">
      <c r="A9" s="3" t="s">
        <v>594</v>
      </c>
      <c r="B9" s="3">
        <v>2250</v>
      </c>
      <c r="C9" s="4">
        <v>35.36</v>
      </c>
      <c r="D9" s="5">
        <f t="shared" si="0"/>
        <v>79560</v>
      </c>
    </row>
    <row r="10" spans="1:4" x14ac:dyDescent="0.2">
      <c r="A10" s="3" t="s">
        <v>595</v>
      </c>
      <c r="B10" s="3">
        <v>6750</v>
      </c>
      <c r="C10" s="4">
        <v>35.36</v>
      </c>
      <c r="D10" s="5">
        <f t="shared" si="0"/>
        <v>238680</v>
      </c>
    </row>
    <row r="11" spans="1:4" x14ac:dyDescent="0.2">
      <c r="A11" s="3" t="s">
        <v>596</v>
      </c>
      <c r="B11" s="3">
        <v>525</v>
      </c>
      <c r="C11" s="4">
        <v>35.36</v>
      </c>
      <c r="D11" s="5">
        <f t="shared" si="0"/>
        <v>18564</v>
      </c>
    </row>
    <row r="12" spans="1:4" x14ac:dyDescent="0.2">
      <c r="A12" s="3" t="s">
        <v>597</v>
      </c>
      <c r="B12" s="3">
        <v>2250</v>
      </c>
      <c r="C12" s="4">
        <v>35.36</v>
      </c>
      <c r="D12" s="5">
        <f t="shared" si="0"/>
        <v>79560</v>
      </c>
    </row>
    <row r="13" spans="1:4" x14ac:dyDescent="0.2">
      <c r="A13" s="3" t="s">
        <v>598</v>
      </c>
      <c r="B13" s="3">
        <v>6750</v>
      </c>
      <c r="C13" s="4">
        <v>35.36</v>
      </c>
      <c r="D13" s="5">
        <f t="shared" si="0"/>
        <v>238680</v>
      </c>
    </row>
    <row r="14" spans="1:4" x14ac:dyDescent="0.2">
      <c r="A14" s="3" t="s">
        <v>599</v>
      </c>
      <c r="B14" s="3">
        <v>6750</v>
      </c>
      <c r="C14" s="4">
        <v>35.36</v>
      </c>
      <c r="D14" s="5">
        <f t="shared" si="0"/>
        <v>238680</v>
      </c>
    </row>
    <row r="15" spans="1:4" x14ac:dyDescent="0.2">
      <c r="A15" s="3" t="s">
        <v>600</v>
      </c>
      <c r="B15" s="3">
        <v>50</v>
      </c>
      <c r="C15" s="4">
        <v>35.36</v>
      </c>
      <c r="D15" s="5">
        <f t="shared" si="0"/>
        <v>1768</v>
      </c>
    </row>
    <row r="16" spans="1:4" x14ac:dyDescent="0.2">
      <c r="A16" s="3" t="s">
        <v>601</v>
      </c>
      <c r="B16" s="3">
        <v>300</v>
      </c>
      <c r="C16" s="4">
        <v>35.36</v>
      </c>
      <c r="D16" s="5">
        <f t="shared" si="0"/>
        <v>10608</v>
      </c>
    </row>
  </sheetData>
  <pageMargins left="0.511811024" right="0.511811024" top="0.78740157499999996" bottom="0.78740157499999996" header="0.31496062000000002" footer="0.31496062000000002"/>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0D6B2B-8A2D-48A4-8359-96CDB0808B34}">
  <dimension ref="A1:D56"/>
  <sheetViews>
    <sheetView topLeftCell="A9" workbookViewId="0">
      <selection activeCell="B25" sqref="B25"/>
    </sheetView>
  </sheetViews>
  <sheetFormatPr defaultRowHeight="15" x14ac:dyDescent="0.25"/>
  <cols>
    <col min="1" max="1" width="17.7109375" customWidth="1"/>
    <col min="2" max="2" width="42.140625" customWidth="1"/>
    <col min="3" max="3" width="15.7109375" customWidth="1"/>
    <col min="4" max="4" width="33.140625" customWidth="1"/>
  </cols>
  <sheetData>
    <row r="1" spans="1:4" x14ac:dyDescent="0.25">
      <c r="A1" s="420" t="s">
        <v>684</v>
      </c>
      <c r="B1" s="420"/>
      <c r="C1" s="420"/>
      <c r="D1" s="420"/>
    </row>
    <row r="2" spans="1:4" x14ac:dyDescent="0.25">
      <c r="A2" s="421" t="s">
        <v>685</v>
      </c>
      <c r="B2" s="421"/>
      <c r="C2" s="421"/>
      <c r="D2" s="421"/>
    </row>
    <row r="4" spans="1:4" ht="15.75" x14ac:dyDescent="0.25">
      <c r="A4" s="422" t="s">
        <v>686</v>
      </c>
      <c r="B4" s="422"/>
      <c r="C4" s="422"/>
      <c r="D4" s="422"/>
    </row>
    <row r="5" spans="1:4" x14ac:dyDescent="0.25">
      <c r="A5" s="423" t="s">
        <v>920</v>
      </c>
      <c r="B5" s="423"/>
      <c r="C5" s="423"/>
      <c r="D5" s="423"/>
    </row>
    <row r="6" spans="1:4" x14ac:dyDescent="0.25">
      <c r="A6" s="424" t="s">
        <v>921</v>
      </c>
      <c r="B6" s="424"/>
      <c r="C6" s="424"/>
      <c r="D6" s="424"/>
    </row>
    <row r="8" spans="1:4" s="8" customFormat="1" ht="12" x14ac:dyDescent="0.2">
      <c r="A8" s="40" t="s">
        <v>687</v>
      </c>
      <c r="B8" s="40" t="s">
        <v>2</v>
      </c>
      <c r="C8" s="40" t="s">
        <v>111</v>
      </c>
      <c r="D8" s="62" t="s">
        <v>573</v>
      </c>
    </row>
    <row r="9" spans="1:4" s="8" customFormat="1" ht="36" x14ac:dyDescent="0.2">
      <c r="A9" s="63" t="s">
        <v>688</v>
      </c>
      <c r="B9" s="64" t="s">
        <v>689</v>
      </c>
      <c r="C9" s="63" t="s">
        <v>690</v>
      </c>
      <c r="D9" s="65">
        <v>792.67</v>
      </c>
    </row>
    <row r="10" spans="1:4" s="8" customFormat="1" ht="24" x14ac:dyDescent="0.2">
      <c r="A10" s="63" t="s">
        <v>691</v>
      </c>
      <c r="B10" s="64" t="s">
        <v>692</v>
      </c>
      <c r="C10" s="63" t="s">
        <v>693</v>
      </c>
      <c r="D10" s="65">
        <v>31827.01</v>
      </c>
    </row>
    <row r="11" spans="1:4" s="8" customFormat="1" ht="12" x14ac:dyDescent="0.2">
      <c r="A11" s="63" t="s">
        <v>694</v>
      </c>
      <c r="B11" s="64" t="s">
        <v>695</v>
      </c>
      <c r="C11" s="63" t="s">
        <v>630</v>
      </c>
      <c r="D11" s="65">
        <v>9314.9599999999991</v>
      </c>
    </row>
    <row r="12" spans="1:4" s="8" customFormat="1" ht="36" x14ac:dyDescent="0.2">
      <c r="A12" s="63" t="s">
        <v>696</v>
      </c>
      <c r="B12" s="64" t="s">
        <v>697</v>
      </c>
      <c r="C12" s="63" t="s">
        <v>630</v>
      </c>
      <c r="D12" s="65">
        <v>5970.65</v>
      </c>
    </row>
    <row r="13" spans="1:4" s="8" customFormat="1" ht="24" x14ac:dyDescent="0.2">
      <c r="A13" s="63" t="s">
        <v>698</v>
      </c>
      <c r="B13" s="64" t="s">
        <v>699</v>
      </c>
      <c r="C13" s="63" t="s">
        <v>630</v>
      </c>
      <c r="D13" s="65">
        <v>839.28</v>
      </c>
    </row>
    <row r="14" spans="1:4" s="8" customFormat="1" ht="12" x14ac:dyDescent="0.2">
      <c r="A14" s="63" t="s">
        <v>146</v>
      </c>
      <c r="B14" s="64" t="s">
        <v>700</v>
      </c>
      <c r="C14" s="63" t="s">
        <v>118</v>
      </c>
      <c r="D14" s="65">
        <v>46.06</v>
      </c>
    </row>
    <row r="15" spans="1:4" s="8" customFormat="1" ht="12" x14ac:dyDescent="0.2">
      <c r="A15" s="63" t="s">
        <v>701</v>
      </c>
      <c r="B15" s="64" t="s">
        <v>702</v>
      </c>
      <c r="C15" s="63" t="s">
        <v>118</v>
      </c>
      <c r="D15" s="65">
        <v>50.43</v>
      </c>
    </row>
    <row r="16" spans="1:4" s="8" customFormat="1" ht="12" x14ac:dyDescent="0.2">
      <c r="A16" s="63" t="s">
        <v>703</v>
      </c>
      <c r="B16" s="64" t="s">
        <v>704</v>
      </c>
      <c r="C16" s="63" t="s">
        <v>118</v>
      </c>
      <c r="D16" s="65">
        <v>59.37</v>
      </c>
    </row>
    <row r="17" spans="1:4" s="8" customFormat="1" ht="12" x14ac:dyDescent="0.2">
      <c r="A17" s="63" t="s">
        <v>367</v>
      </c>
      <c r="B17" s="64" t="s">
        <v>705</v>
      </c>
      <c r="C17" s="63" t="s">
        <v>118</v>
      </c>
      <c r="D17" s="65">
        <v>81.7</v>
      </c>
    </row>
    <row r="18" spans="1:4" s="8" customFormat="1" ht="12" x14ac:dyDescent="0.2">
      <c r="A18" s="63" t="s">
        <v>261</v>
      </c>
      <c r="B18" s="64" t="s">
        <v>706</v>
      </c>
      <c r="C18" s="63" t="s">
        <v>118</v>
      </c>
      <c r="D18" s="65">
        <v>109.09</v>
      </c>
    </row>
    <row r="19" spans="1:4" s="8" customFormat="1" ht="12" x14ac:dyDescent="0.2">
      <c r="A19" s="63" t="s">
        <v>133</v>
      </c>
      <c r="B19" s="64" t="s">
        <v>707</v>
      </c>
      <c r="C19" s="63" t="s">
        <v>118</v>
      </c>
      <c r="D19" s="65">
        <v>189.39</v>
      </c>
    </row>
    <row r="20" spans="1:4" s="8" customFormat="1" ht="12" x14ac:dyDescent="0.2">
      <c r="A20" s="63" t="s">
        <v>708</v>
      </c>
      <c r="B20" s="64" t="s">
        <v>709</v>
      </c>
      <c r="C20" s="63" t="s">
        <v>118</v>
      </c>
      <c r="D20" s="65">
        <v>511.63</v>
      </c>
    </row>
    <row r="21" spans="1:4" s="8" customFormat="1" ht="12" x14ac:dyDescent="0.2">
      <c r="A21" s="63" t="s">
        <v>116</v>
      </c>
      <c r="B21" s="64" t="s">
        <v>710</v>
      </c>
      <c r="C21" s="63" t="s">
        <v>118</v>
      </c>
      <c r="D21" s="65">
        <v>391.54</v>
      </c>
    </row>
    <row r="22" spans="1:4" s="8" customFormat="1" ht="12" x14ac:dyDescent="0.2">
      <c r="A22" s="63" t="s">
        <v>143</v>
      </c>
      <c r="B22" s="64" t="s">
        <v>711</v>
      </c>
      <c r="C22" s="63" t="s">
        <v>118</v>
      </c>
      <c r="D22" s="65">
        <v>94.41</v>
      </c>
    </row>
    <row r="23" spans="1:4" s="8" customFormat="1" ht="12" x14ac:dyDescent="0.2">
      <c r="A23" s="63" t="s">
        <v>712</v>
      </c>
      <c r="B23" s="64" t="s">
        <v>713</v>
      </c>
      <c r="C23" s="63" t="s">
        <v>118</v>
      </c>
      <c r="D23" s="65">
        <v>157.69</v>
      </c>
    </row>
    <row r="24" spans="1:4" s="8" customFormat="1" ht="12" x14ac:dyDescent="0.2">
      <c r="A24" s="63" t="s">
        <v>137</v>
      </c>
      <c r="B24" s="64" t="s">
        <v>714</v>
      </c>
      <c r="C24" s="63" t="s">
        <v>118</v>
      </c>
      <c r="D24" s="65">
        <v>208.51</v>
      </c>
    </row>
    <row r="25" spans="1:4" s="8" customFormat="1" ht="12" x14ac:dyDescent="0.2">
      <c r="A25" s="63" t="s">
        <v>128</v>
      </c>
      <c r="B25" s="64" t="s">
        <v>715</v>
      </c>
      <c r="C25" s="63" t="s">
        <v>118</v>
      </c>
      <c r="D25" s="65">
        <v>263.36</v>
      </c>
    </row>
    <row r="26" spans="1:4" s="8" customFormat="1" ht="12" x14ac:dyDescent="0.2">
      <c r="A26" s="63" t="s">
        <v>273</v>
      </c>
      <c r="B26" s="64" t="s">
        <v>716</v>
      </c>
      <c r="C26" s="63" t="s">
        <v>118</v>
      </c>
      <c r="D26" s="65">
        <v>220.73</v>
      </c>
    </row>
    <row r="27" spans="1:4" s="8" customFormat="1" ht="12" x14ac:dyDescent="0.2">
      <c r="A27" s="63" t="s">
        <v>717</v>
      </c>
      <c r="B27" s="64" t="s">
        <v>718</v>
      </c>
      <c r="C27" s="63" t="s">
        <v>118</v>
      </c>
      <c r="D27" s="65">
        <v>105.66</v>
      </c>
    </row>
    <row r="28" spans="1:4" s="8" customFormat="1" ht="12" x14ac:dyDescent="0.2">
      <c r="A28" s="63" t="s">
        <v>140</v>
      </c>
      <c r="B28" s="64" t="s">
        <v>719</v>
      </c>
      <c r="C28" s="63" t="s">
        <v>118</v>
      </c>
      <c r="D28" s="65">
        <v>213.54</v>
      </c>
    </row>
    <row r="29" spans="1:4" s="8" customFormat="1" ht="12" x14ac:dyDescent="0.2">
      <c r="A29" s="63" t="s">
        <v>720</v>
      </c>
      <c r="B29" s="64" t="s">
        <v>721</v>
      </c>
      <c r="C29" s="63" t="s">
        <v>118</v>
      </c>
      <c r="D29" s="65">
        <v>102.22</v>
      </c>
    </row>
    <row r="30" spans="1:4" s="8" customFormat="1" ht="12" x14ac:dyDescent="0.2">
      <c r="A30" s="63" t="s">
        <v>123</v>
      </c>
      <c r="B30" s="64" t="s">
        <v>722</v>
      </c>
      <c r="C30" s="63" t="s">
        <v>118</v>
      </c>
      <c r="D30" s="65">
        <v>268.08</v>
      </c>
    </row>
    <row r="31" spans="1:4" s="8" customFormat="1" ht="12" x14ac:dyDescent="0.2">
      <c r="A31" s="63" t="s">
        <v>723</v>
      </c>
      <c r="B31" s="64" t="s">
        <v>724</v>
      </c>
      <c r="C31" s="63" t="s">
        <v>118</v>
      </c>
      <c r="D31" s="65">
        <v>161.55000000000001</v>
      </c>
    </row>
    <row r="32" spans="1:4" s="8" customFormat="1" ht="12" x14ac:dyDescent="0.2">
      <c r="A32" s="63" t="s">
        <v>131</v>
      </c>
      <c r="B32" s="64" t="s">
        <v>725</v>
      </c>
      <c r="C32" s="63" t="s">
        <v>118</v>
      </c>
      <c r="D32" s="65">
        <v>220.66</v>
      </c>
    </row>
    <row r="33" spans="1:4" s="8" customFormat="1" ht="12" x14ac:dyDescent="0.2">
      <c r="A33" s="63" t="s">
        <v>120</v>
      </c>
      <c r="B33" s="64" t="s">
        <v>726</v>
      </c>
      <c r="C33" s="63" t="s">
        <v>118</v>
      </c>
      <c r="D33" s="65">
        <v>254.39</v>
      </c>
    </row>
    <row r="34" spans="1:4" s="8" customFormat="1" ht="12" x14ac:dyDescent="0.2">
      <c r="A34" s="63" t="s">
        <v>727</v>
      </c>
      <c r="B34" s="64" t="s">
        <v>728</v>
      </c>
      <c r="C34" s="63" t="s">
        <v>118</v>
      </c>
      <c r="D34" s="65">
        <v>73.8</v>
      </c>
    </row>
    <row r="35" spans="1:4" s="8" customFormat="1" ht="12" x14ac:dyDescent="0.2">
      <c r="A35" s="63" t="s">
        <v>729</v>
      </c>
      <c r="B35" s="64" t="s">
        <v>730</v>
      </c>
      <c r="C35" s="63" t="s">
        <v>118</v>
      </c>
      <c r="D35" s="65">
        <v>142.61000000000001</v>
      </c>
    </row>
    <row r="36" spans="1:4" s="8" customFormat="1" ht="12" x14ac:dyDescent="0.2">
      <c r="A36" s="63" t="s">
        <v>204</v>
      </c>
      <c r="B36" s="64" t="s">
        <v>731</v>
      </c>
      <c r="C36" s="63" t="s">
        <v>118</v>
      </c>
      <c r="D36" s="65">
        <v>24.14</v>
      </c>
    </row>
    <row r="37" spans="1:4" s="8" customFormat="1" ht="12" x14ac:dyDescent="0.2">
      <c r="A37" s="63" t="s">
        <v>222</v>
      </c>
      <c r="B37" s="64" t="s">
        <v>732</v>
      </c>
      <c r="C37" s="63" t="s">
        <v>118</v>
      </c>
      <c r="D37" s="65">
        <v>41.65</v>
      </c>
    </row>
    <row r="38" spans="1:4" s="8" customFormat="1" ht="12" x14ac:dyDescent="0.2">
      <c r="A38" s="63" t="s">
        <v>153</v>
      </c>
      <c r="B38" s="64" t="s">
        <v>733</v>
      </c>
      <c r="C38" s="63" t="s">
        <v>118</v>
      </c>
      <c r="D38" s="65">
        <v>25.5</v>
      </c>
    </row>
    <row r="39" spans="1:4" s="8" customFormat="1" ht="12" x14ac:dyDescent="0.2">
      <c r="A39" s="63" t="s">
        <v>734</v>
      </c>
      <c r="B39" s="64" t="s">
        <v>735</v>
      </c>
      <c r="C39" s="63" t="s">
        <v>118</v>
      </c>
      <c r="D39" s="65">
        <v>125.31</v>
      </c>
    </row>
    <row r="40" spans="1:4" s="8" customFormat="1" ht="12" x14ac:dyDescent="0.2">
      <c r="A40" s="63" t="s">
        <v>922</v>
      </c>
      <c r="B40" s="64" t="s">
        <v>923</v>
      </c>
      <c r="C40" s="63" t="s">
        <v>173</v>
      </c>
      <c r="D40" s="65">
        <v>1.29</v>
      </c>
    </row>
    <row r="41" spans="1:4" s="8" customFormat="1" ht="12" x14ac:dyDescent="0.2">
      <c r="A41" s="63" t="s">
        <v>924</v>
      </c>
      <c r="B41" s="64" t="s">
        <v>925</v>
      </c>
      <c r="C41" s="63" t="s">
        <v>736</v>
      </c>
      <c r="D41" s="65">
        <v>5809.2</v>
      </c>
    </row>
    <row r="42" spans="1:4" s="8" customFormat="1" ht="15" customHeight="1" x14ac:dyDescent="0.2">
      <c r="A42" s="63" t="s">
        <v>926</v>
      </c>
      <c r="B42" s="64" t="s">
        <v>927</v>
      </c>
      <c r="C42" s="63" t="s">
        <v>737</v>
      </c>
      <c r="D42" s="65">
        <f>D41/30</f>
        <v>193.64</v>
      </c>
    </row>
    <row r="43" spans="1:4" s="8" customFormat="1" ht="15" customHeight="1" x14ac:dyDescent="0.2">
      <c r="A43" s="63" t="s">
        <v>738</v>
      </c>
      <c r="B43" s="64" t="s">
        <v>739</v>
      </c>
      <c r="C43" s="63" t="s">
        <v>618</v>
      </c>
      <c r="D43" s="65">
        <v>90.7</v>
      </c>
    </row>
    <row r="44" spans="1:4" s="8" customFormat="1" ht="15" customHeight="1" x14ac:dyDescent="0.2">
      <c r="A44" s="63" t="s">
        <v>740</v>
      </c>
      <c r="B44" s="64" t="s">
        <v>741</v>
      </c>
      <c r="C44" s="63" t="s">
        <v>618</v>
      </c>
      <c r="D44" s="65">
        <v>38.24</v>
      </c>
    </row>
    <row r="45" spans="1:4" s="8" customFormat="1" ht="24" x14ac:dyDescent="0.2">
      <c r="A45" s="63" t="s">
        <v>742</v>
      </c>
      <c r="B45" s="64" t="s">
        <v>743</v>
      </c>
      <c r="C45" s="63" t="s">
        <v>352</v>
      </c>
      <c r="D45" s="65">
        <v>3.09</v>
      </c>
    </row>
    <row r="46" spans="1:4" s="8" customFormat="1" ht="36" x14ac:dyDescent="0.2">
      <c r="A46" s="63" t="s">
        <v>744</v>
      </c>
      <c r="B46" s="64" t="s">
        <v>745</v>
      </c>
      <c r="C46" s="63" t="s">
        <v>618</v>
      </c>
      <c r="D46" s="65">
        <v>169.8</v>
      </c>
    </row>
    <row r="47" spans="1:4" s="8" customFormat="1" ht="12" x14ac:dyDescent="0.2">
      <c r="A47" s="66"/>
      <c r="B47" s="67"/>
      <c r="C47" s="66"/>
      <c r="D47" s="68"/>
    </row>
    <row r="48" spans="1:4" s="8" customFormat="1" ht="12" x14ac:dyDescent="0.2">
      <c r="A48" s="66"/>
      <c r="B48" s="67"/>
      <c r="C48" s="66"/>
      <c r="D48" s="68"/>
    </row>
    <row r="49" spans="1:4" s="8" customFormat="1" ht="12" x14ac:dyDescent="0.2">
      <c r="A49" s="419" t="s">
        <v>746</v>
      </c>
      <c r="B49" s="419"/>
      <c r="C49" s="419"/>
      <c r="D49" s="65">
        <v>176</v>
      </c>
    </row>
    <row r="50" spans="1:4" s="8" customFormat="1" ht="12" x14ac:dyDescent="0.2"/>
    <row r="51" spans="1:4" s="8" customFormat="1" ht="12" x14ac:dyDescent="0.2">
      <c r="A51" s="69" t="s">
        <v>747</v>
      </c>
      <c r="B51" s="70" t="s">
        <v>748</v>
      </c>
      <c r="C51" s="69" t="s">
        <v>749</v>
      </c>
    </row>
    <row r="52" spans="1:4" s="8" customFormat="1" ht="12" x14ac:dyDescent="0.2">
      <c r="A52" s="63" t="s">
        <v>190</v>
      </c>
      <c r="B52" s="71">
        <v>9</v>
      </c>
      <c r="C52" s="47">
        <f>B52*B56</f>
        <v>318.24</v>
      </c>
    </row>
    <row r="53" spans="1:4" s="8" customFormat="1" ht="12" x14ac:dyDescent="0.2">
      <c r="A53" s="63" t="s">
        <v>750</v>
      </c>
      <c r="B53" s="42">
        <f>B52/2</f>
        <v>4.5</v>
      </c>
      <c r="C53" s="47">
        <f>B53*B56</f>
        <v>159.12</v>
      </c>
    </row>
    <row r="54" spans="1:4" s="8" customFormat="1" ht="12" x14ac:dyDescent="0.2"/>
    <row r="55" spans="1:4" s="8" customFormat="1" ht="37.5" customHeight="1" x14ac:dyDescent="0.2">
      <c r="A55" s="418" t="s">
        <v>751</v>
      </c>
      <c r="B55" s="410"/>
    </row>
    <row r="56" spans="1:4" s="8" customFormat="1" ht="12" x14ac:dyDescent="0.2">
      <c r="A56" s="69" t="s">
        <v>928</v>
      </c>
      <c r="B56" s="43">
        <v>35.36</v>
      </c>
      <c r="D56" s="72"/>
    </row>
  </sheetData>
  <mergeCells count="7">
    <mergeCell ref="A55:B55"/>
    <mergeCell ref="A49:C49"/>
    <mergeCell ref="A1:D1"/>
    <mergeCell ref="A2:D2"/>
    <mergeCell ref="A4:D4"/>
    <mergeCell ref="A5:D5"/>
    <mergeCell ref="A6:D6"/>
  </mergeCells>
  <pageMargins left="0.511811024" right="0.511811024" top="0.78740157499999996" bottom="0.78740157499999996" header="0.31496062000000002" footer="0.31496062000000002"/>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91D6FB-76CF-4AA4-B0FF-5451F6A6185F}">
  <sheetPr>
    <pageSetUpPr fitToPage="1"/>
  </sheetPr>
  <dimension ref="A5:D31"/>
  <sheetViews>
    <sheetView zoomScale="90" zoomScaleNormal="90" workbookViewId="0">
      <selection activeCell="A6" sqref="A6:D6"/>
    </sheetView>
  </sheetViews>
  <sheetFormatPr defaultColWidth="9.140625" defaultRowHeight="15" x14ac:dyDescent="0.25"/>
  <cols>
    <col min="1" max="1" width="15.5703125" style="202" customWidth="1"/>
    <col min="2" max="2" width="67.42578125" style="203" bestFit="1" customWidth="1"/>
    <col min="3" max="3" width="19.7109375" style="204" customWidth="1"/>
    <col min="4" max="4" width="17.42578125" style="204" customWidth="1"/>
    <col min="5" max="5" width="9.140625" style="205"/>
    <col min="6" max="6" width="15.140625" style="205" bestFit="1" customWidth="1"/>
    <col min="7" max="16384" width="9.140625" style="205"/>
  </cols>
  <sheetData>
    <row r="5" spans="1:4" ht="20.100000000000001" customHeight="1" x14ac:dyDescent="0.25"/>
    <row r="6" spans="1:4" ht="23.25" x14ac:dyDescent="0.25">
      <c r="A6" s="425" t="s">
        <v>752</v>
      </c>
      <c r="B6" s="425"/>
      <c r="C6" s="425"/>
      <c r="D6" s="425"/>
    </row>
    <row r="7" spans="1:4" ht="9.9499999999999993" customHeight="1" x14ac:dyDescent="0.25"/>
    <row r="8" spans="1:4" ht="15.75" thickBot="1" x14ac:dyDescent="0.3">
      <c r="A8" s="426" t="s">
        <v>753</v>
      </c>
      <c r="B8" s="426"/>
      <c r="C8" s="426"/>
      <c r="D8" s="426"/>
    </row>
    <row r="9" spans="1:4" ht="16.5" thickTop="1" thickBot="1" x14ac:dyDescent="0.3">
      <c r="A9" s="426"/>
      <c r="B9" s="426"/>
      <c r="C9" s="426"/>
      <c r="D9" s="426"/>
    </row>
    <row r="10" spans="1:4" ht="9.9499999999999993" customHeight="1" thickTop="1" x14ac:dyDescent="0.25"/>
    <row r="11" spans="1:4" x14ac:dyDescent="0.25">
      <c r="A11" s="206" t="s">
        <v>930</v>
      </c>
      <c r="B11" s="207"/>
      <c r="C11" s="206"/>
      <c r="D11" s="208"/>
    </row>
    <row r="12" spans="1:4" x14ac:dyDescent="0.25">
      <c r="A12" s="206"/>
      <c r="B12" s="207"/>
      <c r="C12" s="209"/>
      <c r="D12" s="209"/>
    </row>
    <row r="13" spans="1:4" x14ac:dyDescent="0.25">
      <c r="A13" s="210"/>
      <c r="B13" s="207"/>
      <c r="C13" s="208"/>
      <c r="D13" s="208"/>
    </row>
    <row r="14" spans="1:4" x14ac:dyDescent="0.25">
      <c r="A14" s="427" t="s">
        <v>754</v>
      </c>
      <c r="B14" s="428" t="s">
        <v>929</v>
      </c>
      <c r="C14" s="208" t="s">
        <v>755</v>
      </c>
      <c r="D14" s="211">
        <v>45440</v>
      </c>
    </row>
    <row r="15" spans="1:4" x14ac:dyDescent="0.25">
      <c r="A15" s="427"/>
      <c r="B15" s="428"/>
      <c r="C15" s="429" t="s">
        <v>756</v>
      </c>
      <c r="D15" s="429"/>
    </row>
    <row r="16" spans="1:4" ht="5.0999999999999996" customHeight="1" x14ac:dyDescent="0.25">
      <c r="A16" s="208"/>
      <c r="B16" s="212"/>
      <c r="C16" s="208"/>
      <c r="D16" s="208"/>
    </row>
    <row r="17" spans="1:4" ht="30" x14ac:dyDescent="0.25">
      <c r="A17" s="213" t="s">
        <v>757</v>
      </c>
      <c r="B17" s="214" t="s">
        <v>758</v>
      </c>
      <c r="C17" s="213" t="s">
        <v>759</v>
      </c>
      <c r="D17" s="213" t="s">
        <v>760</v>
      </c>
    </row>
    <row r="18" spans="1:4" x14ac:dyDescent="0.25">
      <c r="A18" s="215" t="s">
        <v>761</v>
      </c>
      <c r="B18" s="216" t="s">
        <v>762</v>
      </c>
      <c r="C18" s="35" t="s">
        <v>630</v>
      </c>
      <c r="D18" s="217">
        <v>13061.4</v>
      </c>
    </row>
    <row r="19" spans="1:4" x14ac:dyDescent="0.25">
      <c r="A19" s="215" t="s">
        <v>931</v>
      </c>
      <c r="B19" s="216" t="s">
        <v>932</v>
      </c>
      <c r="C19" s="35" t="s">
        <v>630</v>
      </c>
      <c r="D19" s="217">
        <v>16476.43</v>
      </c>
    </row>
    <row r="20" spans="1:4" s="221" customFormat="1" ht="25.5" x14ac:dyDescent="0.25">
      <c r="A20" s="218" t="s">
        <v>763</v>
      </c>
      <c r="B20" s="219" t="s">
        <v>764</v>
      </c>
      <c r="C20" s="220" t="s">
        <v>630</v>
      </c>
      <c r="D20" s="217">
        <v>199.82</v>
      </c>
    </row>
    <row r="21" spans="1:4" s="221" customFormat="1" x14ac:dyDescent="0.25">
      <c r="A21" s="218" t="s">
        <v>765</v>
      </c>
      <c r="B21" s="219" t="s">
        <v>766</v>
      </c>
      <c r="C21" s="220" t="s">
        <v>630</v>
      </c>
      <c r="D21" s="217">
        <v>268.82</v>
      </c>
    </row>
    <row r="22" spans="1:4" s="221" customFormat="1" x14ac:dyDescent="0.25">
      <c r="A22" s="218" t="s">
        <v>767</v>
      </c>
      <c r="B22" s="219" t="s">
        <v>768</v>
      </c>
      <c r="C22" s="220" t="s">
        <v>630</v>
      </c>
      <c r="D22" s="217">
        <v>229.11</v>
      </c>
    </row>
    <row r="23" spans="1:4" s="221" customFormat="1" ht="25.5" x14ac:dyDescent="0.25">
      <c r="A23" s="218" t="s">
        <v>933</v>
      </c>
      <c r="B23" s="219" t="s">
        <v>934</v>
      </c>
      <c r="C23" s="220" t="s">
        <v>630</v>
      </c>
      <c r="D23" s="217">
        <v>18974.5</v>
      </c>
    </row>
    <row r="24" spans="1:4" s="221" customFormat="1" ht="25.5" x14ac:dyDescent="0.25">
      <c r="A24" s="218" t="s">
        <v>769</v>
      </c>
      <c r="B24" s="219" t="s">
        <v>770</v>
      </c>
      <c r="C24" s="220" t="s">
        <v>630</v>
      </c>
      <c r="D24" s="217">
        <v>138.61000000000001</v>
      </c>
    </row>
    <row r="25" spans="1:4" s="221" customFormat="1" x14ac:dyDescent="0.25">
      <c r="A25" s="218" t="s">
        <v>935</v>
      </c>
      <c r="B25" s="219" t="s">
        <v>936</v>
      </c>
      <c r="C25" s="220" t="s">
        <v>630</v>
      </c>
      <c r="D25" s="217">
        <v>6370</v>
      </c>
    </row>
    <row r="26" spans="1:4" s="221" customFormat="1" ht="25.5" x14ac:dyDescent="0.25">
      <c r="A26" s="218" t="s">
        <v>771</v>
      </c>
      <c r="B26" s="219" t="s">
        <v>772</v>
      </c>
      <c r="C26" s="220" t="s">
        <v>340</v>
      </c>
      <c r="D26" s="217">
        <v>397.5</v>
      </c>
    </row>
    <row r="27" spans="1:4" s="221" customFormat="1" x14ac:dyDescent="0.25">
      <c r="A27" s="218" t="s">
        <v>773</v>
      </c>
      <c r="B27" s="219" t="s">
        <v>774</v>
      </c>
      <c r="C27" s="220" t="s">
        <v>340</v>
      </c>
      <c r="D27" s="217">
        <v>208.52</v>
      </c>
    </row>
    <row r="28" spans="1:4" s="221" customFormat="1" ht="25.5" x14ac:dyDescent="0.25">
      <c r="A28" s="218" t="s">
        <v>775</v>
      </c>
      <c r="B28" s="219" t="s">
        <v>776</v>
      </c>
      <c r="C28" s="220" t="s">
        <v>630</v>
      </c>
      <c r="D28" s="217">
        <v>27854.400000000001</v>
      </c>
    </row>
    <row r="29" spans="1:4" s="221" customFormat="1" x14ac:dyDescent="0.25">
      <c r="A29" s="218" t="s">
        <v>777</v>
      </c>
      <c r="B29" s="219" t="s">
        <v>778</v>
      </c>
      <c r="C29" s="220" t="s">
        <v>779</v>
      </c>
      <c r="D29" s="217">
        <v>15.38</v>
      </c>
    </row>
    <row r="30" spans="1:4" s="221" customFormat="1" x14ac:dyDescent="0.25">
      <c r="A30" s="218" t="s">
        <v>780</v>
      </c>
      <c r="B30" s="219" t="s">
        <v>781</v>
      </c>
      <c r="C30" s="220" t="s">
        <v>782</v>
      </c>
      <c r="D30" s="217">
        <v>1.24</v>
      </c>
    </row>
    <row r="31" spans="1:4" s="221" customFormat="1" ht="25.5" x14ac:dyDescent="0.25">
      <c r="A31" s="218" t="s">
        <v>783</v>
      </c>
      <c r="B31" s="219" t="s">
        <v>784</v>
      </c>
      <c r="C31" s="220" t="s">
        <v>779</v>
      </c>
      <c r="D31" s="217">
        <v>619.61</v>
      </c>
    </row>
  </sheetData>
  <autoFilter ref="A17:D31" xr:uid="{00000000-0009-0000-0000-000001000000}"/>
  <mergeCells count="5">
    <mergeCell ref="A6:D6"/>
    <mergeCell ref="A8:D9"/>
    <mergeCell ref="A14:A15"/>
    <mergeCell ref="B14:B15"/>
    <mergeCell ref="C15:D15"/>
  </mergeCells>
  <conditionalFormatting sqref="A11:A15">
    <cfRule type="duplicateValues" dxfId="4" priority="4"/>
  </conditionalFormatting>
  <conditionalFormatting sqref="A18">
    <cfRule type="duplicateValues" dxfId="3" priority="2"/>
  </conditionalFormatting>
  <conditionalFormatting sqref="A19">
    <cfRule type="duplicateValues" dxfId="2" priority="3"/>
  </conditionalFormatting>
  <conditionalFormatting sqref="A20:A1048576 A1:A10 A16:A17">
    <cfRule type="duplicateValues" dxfId="1" priority="5"/>
  </conditionalFormatting>
  <conditionalFormatting sqref="C11">
    <cfRule type="duplicateValues" dxfId="0" priority="1"/>
  </conditionalFormatting>
  <pageMargins left="0.78740157480314965" right="0.59055118110236227" top="0.78740157480314965" bottom="0.78740157480314965" header="0.51181102362204722" footer="0.51181102362204722"/>
  <pageSetup paperSize="9" scale="77" fitToHeight="0" orientation="portrait" r:id="rId1"/>
  <headerFooter>
    <oddFooter>&amp;RPágina &amp;P de &amp;N</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E5F967-C278-41E0-9DDB-819C5E31051E}">
  <sheetPr>
    <tabColor rgb="FFFF0000"/>
    <outlinePr summaryBelow="0"/>
    <pageSetUpPr fitToPage="1"/>
  </sheetPr>
  <dimension ref="B1:AJ14"/>
  <sheetViews>
    <sheetView showGridLines="0" topLeftCell="A3" zoomScale="70" zoomScaleNormal="70" workbookViewId="0">
      <pane xSplit="3" ySplit="2" topLeftCell="D5" activePane="bottomRight" state="frozen"/>
      <selection pane="topRight" activeCell="F40" sqref="F40"/>
      <selection pane="bottomLeft" activeCell="F40" sqref="F40"/>
      <selection pane="bottomRight" activeCell="L8" sqref="L8:AI8"/>
    </sheetView>
  </sheetViews>
  <sheetFormatPr defaultColWidth="9.140625" defaultRowHeight="16.5" customHeight="1" outlineLevelRow="1" outlineLevelCol="1" x14ac:dyDescent="0.25"/>
  <cols>
    <col min="1" max="1" width="3.28515625" style="226" customWidth="1"/>
    <col min="2" max="2" width="7.7109375" style="226" customWidth="1"/>
    <col min="3" max="3" width="66" style="226" customWidth="1"/>
    <col min="4" max="4" width="19.5703125" style="226" customWidth="1"/>
    <col min="5" max="5" width="16.42578125" style="227" customWidth="1"/>
    <col min="6" max="7" width="9.5703125" style="226" bestFit="1" customWidth="1"/>
    <col min="8" max="10" width="10.28515625" style="226" bestFit="1" customWidth="1"/>
    <col min="11" max="11" width="9.5703125" style="226" bestFit="1" customWidth="1"/>
    <col min="12" max="34" width="10.28515625" style="226" bestFit="1" customWidth="1" outlineLevel="1"/>
    <col min="35" max="35" width="10.28515625" style="226" bestFit="1" customWidth="1"/>
    <col min="36" max="36" width="12.5703125" style="226" bestFit="1" customWidth="1"/>
    <col min="37" max="16384" width="9.140625" style="226"/>
  </cols>
  <sheetData>
    <row r="1" spans="2:36" ht="16.5" hidden="1" customHeight="1" x14ac:dyDescent="0.25"/>
    <row r="2" spans="2:36" s="272" customFormat="1" ht="58.5" customHeight="1" x14ac:dyDescent="0.25">
      <c r="E2" s="273"/>
      <c r="F2" s="273"/>
      <c r="G2" s="273"/>
      <c r="H2" s="273"/>
      <c r="I2" s="273"/>
      <c r="J2" s="273"/>
      <c r="K2" s="273"/>
      <c r="L2" s="273"/>
      <c r="M2" s="273"/>
      <c r="N2" s="273"/>
      <c r="O2" s="273"/>
      <c r="P2" s="273"/>
      <c r="Q2" s="273"/>
      <c r="R2" s="273"/>
      <c r="S2" s="273"/>
      <c r="T2" s="273"/>
      <c r="U2" s="273"/>
      <c r="V2" s="273"/>
      <c r="W2" s="273"/>
      <c r="X2" s="273"/>
      <c r="Y2" s="273"/>
      <c r="Z2" s="273"/>
      <c r="AA2" s="273"/>
      <c r="AB2" s="273"/>
      <c r="AC2" s="273"/>
      <c r="AD2" s="273"/>
      <c r="AE2" s="273"/>
      <c r="AF2" s="273"/>
      <c r="AG2" s="273"/>
      <c r="AH2" s="273"/>
      <c r="AI2" s="273"/>
    </row>
    <row r="3" spans="2:36" s="272" customFormat="1" ht="12.75" x14ac:dyDescent="0.2">
      <c r="B3" s="228" t="s">
        <v>0</v>
      </c>
      <c r="C3" s="276"/>
      <c r="D3" s="276"/>
      <c r="E3" s="255" t="s">
        <v>1</v>
      </c>
      <c r="F3" s="277"/>
      <c r="G3" s="277"/>
      <c r="H3" s="277"/>
      <c r="I3" s="277"/>
      <c r="J3" s="277"/>
      <c r="K3" s="277"/>
      <c r="L3" s="277"/>
      <c r="M3" s="277"/>
      <c r="N3" s="277"/>
      <c r="O3" s="277"/>
      <c r="P3" s="277"/>
      <c r="Q3" s="277"/>
      <c r="R3" s="277"/>
      <c r="S3" s="277"/>
      <c r="T3" s="277"/>
      <c r="U3" s="277"/>
      <c r="V3" s="277"/>
      <c r="W3" s="277"/>
      <c r="X3" s="277"/>
      <c r="Y3" s="277"/>
      <c r="Z3" s="277"/>
      <c r="AA3" s="277"/>
      <c r="AB3" s="277"/>
      <c r="AC3" s="277"/>
      <c r="AD3" s="277"/>
      <c r="AE3" s="277"/>
      <c r="AF3" s="277"/>
      <c r="AG3" s="277"/>
      <c r="AH3" s="277"/>
      <c r="AI3" s="277"/>
    </row>
    <row r="4" spans="2:36" ht="16.5" customHeight="1" x14ac:dyDescent="0.25">
      <c r="B4" s="325" t="s">
        <v>2</v>
      </c>
      <c r="C4" s="326"/>
      <c r="D4" s="231" t="s">
        <v>3</v>
      </c>
      <c r="E4" s="232" t="s">
        <v>4</v>
      </c>
      <c r="F4" s="233">
        <v>1</v>
      </c>
      <c r="G4" s="233">
        <f t="shared" ref="G4:AI4" si="0">F4+1</f>
        <v>2</v>
      </c>
      <c r="H4" s="233">
        <f t="shared" si="0"/>
        <v>3</v>
      </c>
      <c r="I4" s="233">
        <f t="shared" si="0"/>
        <v>4</v>
      </c>
      <c r="J4" s="233">
        <f t="shared" si="0"/>
        <v>5</v>
      </c>
      <c r="K4" s="233">
        <f t="shared" si="0"/>
        <v>6</v>
      </c>
      <c r="L4" s="233">
        <f t="shared" si="0"/>
        <v>7</v>
      </c>
      <c r="M4" s="233">
        <f t="shared" si="0"/>
        <v>8</v>
      </c>
      <c r="N4" s="233">
        <f t="shared" si="0"/>
        <v>9</v>
      </c>
      <c r="O4" s="233">
        <f t="shared" si="0"/>
        <v>10</v>
      </c>
      <c r="P4" s="233">
        <f t="shared" si="0"/>
        <v>11</v>
      </c>
      <c r="Q4" s="233">
        <f t="shared" si="0"/>
        <v>12</v>
      </c>
      <c r="R4" s="233">
        <f t="shared" si="0"/>
        <v>13</v>
      </c>
      <c r="S4" s="233">
        <f t="shared" si="0"/>
        <v>14</v>
      </c>
      <c r="T4" s="233">
        <f t="shared" si="0"/>
        <v>15</v>
      </c>
      <c r="U4" s="233">
        <f t="shared" si="0"/>
        <v>16</v>
      </c>
      <c r="V4" s="233">
        <f t="shared" si="0"/>
        <v>17</v>
      </c>
      <c r="W4" s="233">
        <f t="shared" si="0"/>
        <v>18</v>
      </c>
      <c r="X4" s="233">
        <f t="shared" si="0"/>
        <v>19</v>
      </c>
      <c r="Y4" s="233">
        <f t="shared" si="0"/>
        <v>20</v>
      </c>
      <c r="Z4" s="233">
        <f t="shared" si="0"/>
        <v>21</v>
      </c>
      <c r="AA4" s="233">
        <f t="shared" si="0"/>
        <v>22</v>
      </c>
      <c r="AB4" s="233">
        <f t="shared" si="0"/>
        <v>23</v>
      </c>
      <c r="AC4" s="233">
        <f t="shared" si="0"/>
        <v>24</v>
      </c>
      <c r="AD4" s="233">
        <f t="shared" si="0"/>
        <v>25</v>
      </c>
      <c r="AE4" s="233">
        <f t="shared" si="0"/>
        <v>26</v>
      </c>
      <c r="AF4" s="233">
        <f t="shared" si="0"/>
        <v>27</v>
      </c>
      <c r="AG4" s="233">
        <f t="shared" si="0"/>
        <v>28</v>
      </c>
      <c r="AH4" s="233">
        <f t="shared" si="0"/>
        <v>29</v>
      </c>
      <c r="AI4" s="233">
        <f t="shared" si="0"/>
        <v>30</v>
      </c>
    </row>
    <row r="5" spans="2:36" s="227" customFormat="1" ht="16.5" customHeight="1" thickBot="1" x14ac:dyDescent="0.3">
      <c r="B5" s="278"/>
      <c r="C5" s="278" t="s">
        <v>4</v>
      </c>
      <c r="D5" s="282">
        <f>NPV(0.0868,F5:AI5)</f>
        <v>4139.3310183028016</v>
      </c>
      <c r="E5" s="274">
        <f>SUM(F5:AI5)</f>
        <v>16733.215375199998</v>
      </c>
      <c r="F5" s="275">
        <f t="shared" ref="F5:AI5" si="1">SUBTOTAL(9,F6:F8)</f>
        <v>0</v>
      </c>
      <c r="G5" s="275">
        <f t="shared" si="1"/>
        <v>0</v>
      </c>
      <c r="H5" s="275">
        <f t="shared" si="1"/>
        <v>0</v>
      </c>
      <c r="I5" s="275">
        <f t="shared" si="1"/>
        <v>0</v>
      </c>
      <c r="J5" s="275">
        <f t="shared" si="1"/>
        <v>0</v>
      </c>
      <c r="K5" s="275">
        <f t="shared" si="1"/>
        <v>0</v>
      </c>
      <c r="L5" s="275">
        <f t="shared" si="1"/>
        <v>547.54650060000006</v>
      </c>
      <c r="M5" s="275">
        <f t="shared" si="1"/>
        <v>547.54650060000006</v>
      </c>
      <c r="N5" s="275">
        <f t="shared" si="1"/>
        <v>996.55892070000004</v>
      </c>
      <c r="O5" s="275">
        <f t="shared" si="1"/>
        <v>547.54650060000006</v>
      </c>
      <c r="P5" s="275">
        <f t="shared" si="1"/>
        <v>547.54650060000006</v>
      </c>
      <c r="Q5" s="275">
        <f t="shared" si="1"/>
        <v>996.55892070000004</v>
      </c>
      <c r="R5" s="275">
        <f t="shared" si="1"/>
        <v>547.54650060000006</v>
      </c>
      <c r="S5" s="275">
        <f t="shared" si="1"/>
        <v>547.54650060000006</v>
      </c>
      <c r="T5" s="275">
        <f t="shared" si="1"/>
        <v>996.55892070000004</v>
      </c>
      <c r="U5" s="275">
        <f t="shared" si="1"/>
        <v>547.54650060000006</v>
      </c>
      <c r="V5" s="275">
        <f t="shared" si="1"/>
        <v>547.54650060000006</v>
      </c>
      <c r="W5" s="275">
        <f t="shared" si="1"/>
        <v>996.55892070000004</v>
      </c>
      <c r="X5" s="275">
        <f t="shared" si="1"/>
        <v>547.54650060000006</v>
      </c>
      <c r="Y5" s="275">
        <f t="shared" si="1"/>
        <v>547.54650060000006</v>
      </c>
      <c r="Z5" s="275">
        <f t="shared" si="1"/>
        <v>996.55892070000004</v>
      </c>
      <c r="AA5" s="275">
        <f t="shared" si="1"/>
        <v>547.54650060000006</v>
      </c>
      <c r="AB5" s="275">
        <f t="shared" si="1"/>
        <v>547.54650060000006</v>
      </c>
      <c r="AC5" s="275">
        <f t="shared" si="1"/>
        <v>996.55892070000004</v>
      </c>
      <c r="AD5" s="275">
        <f t="shared" si="1"/>
        <v>547.54650060000006</v>
      </c>
      <c r="AE5" s="275">
        <f t="shared" si="1"/>
        <v>547.54650060000006</v>
      </c>
      <c r="AF5" s="275">
        <f t="shared" si="1"/>
        <v>996.55892070000004</v>
      </c>
      <c r="AG5" s="275">
        <f t="shared" si="1"/>
        <v>547.54650060000006</v>
      </c>
      <c r="AH5" s="275">
        <f t="shared" si="1"/>
        <v>547.54650060000006</v>
      </c>
      <c r="AI5" s="275">
        <f t="shared" si="1"/>
        <v>996.55892070000004</v>
      </c>
      <c r="AJ5" s="235"/>
    </row>
    <row r="6" spans="2:36" ht="16.5" customHeight="1" thickTop="1" x14ac:dyDescent="0.25">
      <c r="B6" s="236">
        <v>5</v>
      </c>
      <c r="C6" s="237" t="s">
        <v>5</v>
      </c>
      <c r="D6" s="238">
        <f t="shared" ref="D6:D8" si="2">NPV(0.0868,F6:AI6)</f>
        <v>4139.3310183028016</v>
      </c>
      <c r="E6" s="239">
        <f>SUM(F6:AI6)</f>
        <v>16733.215375199998</v>
      </c>
      <c r="F6" s="279">
        <f t="shared" ref="F6:AI6" si="3">SUBTOTAL(9,F7:F8)</f>
        <v>0</v>
      </c>
      <c r="G6" s="279">
        <f t="shared" si="3"/>
        <v>0</v>
      </c>
      <c r="H6" s="279">
        <f t="shared" si="3"/>
        <v>0</v>
      </c>
      <c r="I6" s="279">
        <f t="shared" si="3"/>
        <v>0</v>
      </c>
      <c r="J6" s="279">
        <f t="shared" si="3"/>
        <v>0</v>
      </c>
      <c r="K6" s="279">
        <f t="shared" si="3"/>
        <v>0</v>
      </c>
      <c r="L6" s="279">
        <f t="shared" si="3"/>
        <v>547.54650060000006</v>
      </c>
      <c r="M6" s="279">
        <f t="shared" si="3"/>
        <v>547.54650060000006</v>
      </c>
      <c r="N6" s="279">
        <f t="shared" si="3"/>
        <v>996.55892070000004</v>
      </c>
      <c r="O6" s="279">
        <f t="shared" si="3"/>
        <v>547.54650060000006</v>
      </c>
      <c r="P6" s="279">
        <f t="shared" si="3"/>
        <v>547.54650060000006</v>
      </c>
      <c r="Q6" s="279">
        <f t="shared" si="3"/>
        <v>996.55892070000004</v>
      </c>
      <c r="R6" s="279">
        <f t="shared" si="3"/>
        <v>547.54650060000006</v>
      </c>
      <c r="S6" s="279">
        <f t="shared" si="3"/>
        <v>547.54650060000006</v>
      </c>
      <c r="T6" s="279">
        <f t="shared" si="3"/>
        <v>996.55892070000004</v>
      </c>
      <c r="U6" s="279">
        <f t="shared" si="3"/>
        <v>547.54650060000006</v>
      </c>
      <c r="V6" s="279">
        <f t="shared" si="3"/>
        <v>547.54650060000006</v>
      </c>
      <c r="W6" s="279">
        <f t="shared" si="3"/>
        <v>996.55892070000004</v>
      </c>
      <c r="X6" s="279">
        <f t="shared" si="3"/>
        <v>547.54650060000006</v>
      </c>
      <c r="Y6" s="279">
        <f t="shared" si="3"/>
        <v>547.54650060000006</v>
      </c>
      <c r="Z6" s="279">
        <f t="shared" si="3"/>
        <v>996.55892070000004</v>
      </c>
      <c r="AA6" s="279">
        <f t="shared" si="3"/>
        <v>547.54650060000006</v>
      </c>
      <c r="AB6" s="279">
        <f t="shared" si="3"/>
        <v>547.54650060000006</v>
      </c>
      <c r="AC6" s="279">
        <f t="shared" si="3"/>
        <v>996.55892070000004</v>
      </c>
      <c r="AD6" s="279">
        <f t="shared" si="3"/>
        <v>547.54650060000006</v>
      </c>
      <c r="AE6" s="279">
        <f t="shared" si="3"/>
        <v>547.54650060000006</v>
      </c>
      <c r="AF6" s="279">
        <f t="shared" si="3"/>
        <v>996.55892070000004</v>
      </c>
      <c r="AG6" s="279">
        <f t="shared" si="3"/>
        <v>547.54650060000006</v>
      </c>
      <c r="AH6" s="279">
        <f t="shared" si="3"/>
        <v>547.54650060000006</v>
      </c>
      <c r="AI6" s="279">
        <f t="shared" si="3"/>
        <v>996.55892070000004</v>
      </c>
    </row>
    <row r="7" spans="2:36" ht="16.5" customHeight="1" outlineLevel="1" x14ac:dyDescent="0.25">
      <c r="B7" s="280" t="s">
        <v>6</v>
      </c>
      <c r="C7" s="280" t="s">
        <v>7</v>
      </c>
      <c r="D7" s="241">
        <f t="shared" si="2"/>
        <v>830.34560367389065</v>
      </c>
      <c r="E7" s="242">
        <f>SUM(F7:AI7)</f>
        <v>3592.0993607999999</v>
      </c>
      <c r="F7" s="281">
        <v>0</v>
      </c>
      <c r="G7" s="281">
        <v>0</v>
      </c>
      <c r="H7" s="281">
        <v>0</v>
      </c>
      <c r="I7" s="281">
        <v>0</v>
      </c>
      <c r="J7" s="281">
        <v>0</v>
      </c>
      <c r="K7" s="281">
        <v>0</v>
      </c>
      <c r="L7" s="281">
        <v>0</v>
      </c>
      <c r="M7" s="281">
        <v>0</v>
      </c>
      <c r="N7" s="281">
        <f>(OPEX!$D$6/8)/1000</f>
        <v>449.01242010000004</v>
      </c>
      <c r="O7" s="281">
        <v>0</v>
      </c>
      <c r="P7" s="281">
        <v>0</v>
      </c>
      <c r="Q7" s="281">
        <f>(OPEX!$D$6/8)/1000</f>
        <v>449.01242010000004</v>
      </c>
      <c r="R7" s="281">
        <v>0</v>
      </c>
      <c r="S7" s="281">
        <v>0</v>
      </c>
      <c r="T7" s="281">
        <f>(OPEX!$D$6/8)/1000</f>
        <v>449.01242010000004</v>
      </c>
      <c r="U7" s="281">
        <v>0</v>
      </c>
      <c r="V7" s="281">
        <v>0</v>
      </c>
      <c r="W7" s="281">
        <f>(OPEX!$D$6/8)/1000</f>
        <v>449.01242010000004</v>
      </c>
      <c r="X7" s="281">
        <v>0</v>
      </c>
      <c r="Y7" s="281">
        <v>0</v>
      </c>
      <c r="Z7" s="281">
        <f>(OPEX!$D$6/8)/1000</f>
        <v>449.01242010000004</v>
      </c>
      <c r="AA7" s="281">
        <v>0</v>
      </c>
      <c r="AB7" s="281">
        <v>0</v>
      </c>
      <c r="AC7" s="281">
        <f>(OPEX!$D$6/8)/1000</f>
        <v>449.01242010000004</v>
      </c>
      <c r="AD7" s="281">
        <v>0</v>
      </c>
      <c r="AE7" s="281">
        <v>0</v>
      </c>
      <c r="AF7" s="281">
        <f>(OPEX!$D$6/8)/1000</f>
        <v>449.01242010000004</v>
      </c>
      <c r="AG7" s="281">
        <v>0</v>
      </c>
      <c r="AH7" s="281">
        <v>0</v>
      </c>
      <c r="AI7" s="281">
        <f>(OPEX!$D$6/8)/1000</f>
        <v>449.01242010000004</v>
      </c>
    </row>
    <row r="8" spans="2:36" ht="16.5" customHeight="1" outlineLevel="1" x14ac:dyDescent="0.25">
      <c r="B8" s="280" t="s">
        <v>8</v>
      </c>
      <c r="C8" s="280" t="s">
        <v>9</v>
      </c>
      <c r="D8" s="241">
        <f t="shared" si="2"/>
        <v>3308.9854146289113</v>
      </c>
      <c r="E8" s="242">
        <f>SUM(F8:AI8)</f>
        <v>13141.116014399999</v>
      </c>
      <c r="F8" s="281">
        <v>0</v>
      </c>
      <c r="G8" s="281">
        <v>0</v>
      </c>
      <c r="H8" s="281">
        <v>0</v>
      </c>
      <c r="I8" s="281">
        <v>0</v>
      </c>
      <c r="J8" s="281">
        <v>0</v>
      </c>
      <c r="K8" s="281">
        <v>0</v>
      </c>
      <c r="L8" s="281">
        <f>((OPEX!$D$14/24)/1000)</f>
        <v>547.54650060000006</v>
      </c>
      <c r="M8" s="281">
        <f>((OPEX!$D$14/24)/1000)</f>
        <v>547.54650060000006</v>
      </c>
      <c r="N8" s="281">
        <f>((OPEX!$D$14/24)/1000)</f>
        <v>547.54650060000006</v>
      </c>
      <c r="O8" s="281">
        <f>((OPEX!$D$14/24)/1000)</f>
        <v>547.54650060000006</v>
      </c>
      <c r="P8" s="281">
        <f>((OPEX!$D$14/24)/1000)</f>
        <v>547.54650060000006</v>
      </c>
      <c r="Q8" s="281">
        <f>((OPEX!$D$14/24)/1000)</f>
        <v>547.54650060000006</v>
      </c>
      <c r="R8" s="281">
        <f>((OPEX!$D$14/24)/1000)</f>
        <v>547.54650060000006</v>
      </c>
      <c r="S8" s="281">
        <f>((OPEX!$D$14/24)/1000)</f>
        <v>547.54650060000006</v>
      </c>
      <c r="T8" s="281">
        <f>((OPEX!$D$14/24)/1000)</f>
        <v>547.54650060000006</v>
      </c>
      <c r="U8" s="281">
        <f>((OPEX!$D$14/24)/1000)</f>
        <v>547.54650060000006</v>
      </c>
      <c r="V8" s="281">
        <f>((OPEX!$D$14/24)/1000)</f>
        <v>547.54650060000006</v>
      </c>
      <c r="W8" s="281">
        <f>((OPEX!$D$14/24)/1000)</f>
        <v>547.54650060000006</v>
      </c>
      <c r="X8" s="281">
        <f>((OPEX!$D$14/24)/1000)</f>
        <v>547.54650060000006</v>
      </c>
      <c r="Y8" s="281">
        <f>((OPEX!$D$14/24)/1000)</f>
        <v>547.54650060000006</v>
      </c>
      <c r="Z8" s="281">
        <f>((OPEX!$D$14/24)/1000)</f>
        <v>547.54650060000006</v>
      </c>
      <c r="AA8" s="281">
        <f>((OPEX!$D$14/24)/1000)</f>
        <v>547.54650060000006</v>
      </c>
      <c r="AB8" s="281">
        <f>((OPEX!$D$14/24)/1000)</f>
        <v>547.54650060000006</v>
      </c>
      <c r="AC8" s="281">
        <f>((OPEX!$D$14/24)/1000)</f>
        <v>547.54650060000006</v>
      </c>
      <c r="AD8" s="281">
        <f>((OPEX!$D$14/24)/1000)</f>
        <v>547.54650060000006</v>
      </c>
      <c r="AE8" s="281">
        <f>((OPEX!$D$14/24)/1000)</f>
        <v>547.54650060000006</v>
      </c>
      <c r="AF8" s="281">
        <f>((OPEX!$D$14/24)/1000)</f>
        <v>547.54650060000006</v>
      </c>
      <c r="AG8" s="281">
        <f>((OPEX!$D$14/24)/1000)</f>
        <v>547.54650060000006</v>
      </c>
      <c r="AH8" s="281">
        <f>((OPEX!$D$14/24)/1000)</f>
        <v>547.54650060000006</v>
      </c>
      <c r="AI8" s="281">
        <f>((OPEX!$D$14/24)/1000)</f>
        <v>547.54650060000006</v>
      </c>
    </row>
    <row r="9" spans="2:36" ht="16.5" customHeight="1" x14ac:dyDescent="0.25">
      <c r="E9" s="244"/>
      <c r="G9" s="245"/>
      <c r="I9" s="246"/>
    </row>
    <row r="10" spans="2:36" ht="16.5" customHeight="1" x14ac:dyDescent="0.25">
      <c r="G10" s="245"/>
      <c r="I10" s="246"/>
    </row>
    <row r="11" spans="2:36" ht="16.5" customHeight="1" x14ac:dyDescent="0.25">
      <c r="G11" s="245"/>
      <c r="I11" s="246"/>
    </row>
    <row r="12" spans="2:36" ht="16.5" customHeight="1" x14ac:dyDescent="0.25">
      <c r="G12" s="245"/>
      <c r="I12" s="246"/>
    </row>
    <row r="13" spans="2:36" ht="16.5" customHeight="1" x14ac:dyDescent="0.25">
      <c r="G13" s="245"/>
      <c r="I13" s="246"/>
    </row>
    <row r="14" spans="2:36" ht="16.5" customHeight="1" x14ac:dyDescent="0.25">
      <c r="G14" s="245"/>
      <c r="I14" s="246"/>
    </row>
  </sheetData>
  <mergeCells count="1">
    <mergeCell ref="B4:C4"/>
  </mergeCells>
  <printOptions horizontalCentered="1"/>
  <pageMargins left="0.78740157480314965" right="0.39370078740157483" top="0.78740157480314965" bottom="0.39370078740157483" header="0.51181102362204722" footer="0.51181102362204722"/>
  <pageSetup paperSize="262" scale="42" orientation="landscape" cellComments="asDisplayed" horizontalDpi="4294967293" verticalDpi="4294967293" r:id="rId1"/>
  <headerFooter alignWithMargins="0"/>
  <colBreaks count="1" manualBreakCount="1">
    <brk id="23"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Button 1">
              <controlPr defaultSize="0" print="0" autoFill="0" autoPict="0">
                <anchor moveWithCells="1" sizeWithCells="1">
                  <from>
                    <xdr:col>13</xdr:col>
                    <xdr:colOff>0</xdr:colOff>
                    <xdr:row>0</xdr:row>
                    <xdr:rowOff>0</xdr:rowOff>
                  </from>
                  <to>
                    <xdr:col>14</xdr:col>
                    <xdr:colOff>742950</xdr:colOff>
                    <xdr:row>0</xdr:row>
                    <xdr:rowOff>0</xdr:rowOff>
                  </to>
                </anchor>
              </controlPr>
            </control>
          </mc:Choice>
        </mc:AlternateContent>
        <mc:AlternateContent xmlns:mc="http://schemas.openxmlformats.org/markup-compatibility/2006">
          <mc:Choice Requires="x14">
            <control shapeId="32770" r:id="rId5" name="Button 2">
              <controlPr defaultSize="0" print="0" autoFill="0" autoPict="0">
                <anchor moveWithCells="1" sizeWithCells="1">
                  <from>
                    <xdr:col>8</xdr:col>
                    <xdr:colOff>0</xdr:colOff>
                    <xdr:row>0</xdr:row>
                    <xdr:rowOff>0</xdr:rowOff>
                  </from>
                  <to>
                    <xdr:col>9</xdr:col>
                    <xdr:colOff>742950</xdr:colOff>
                    <xdr:row>0</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E12E48-F785-4F86-841E-8803806D0A6C}">
  <sheetPr>
    <tabColor rgb="FFFF0000"/>
    <outlinePr summaryBelow="0"/>
  </sheetPr>
  <dimension ref="A1:AN31"/>
  <sheetViews>
    <sheetView showGridLines="0" topLeftCell="A3" zoomScale="70" zoomScaleNormal="70" workbookViewId="0">
      <pane ySplit="1" topLeftCell="A4" activePane="bottomLeft" state="frozen"/>
      <selection activeCell="F40" sqref="F40"/>
      <selection pane="bottomLeft" activeCell="K14" sqref="K14"/>
    </sheetView>
  </sheetViews>
  <sheetFormatPr defaultRowHeight="16.5" customHeight="1" outlineLevelRow="2" outlineLevelCol="1" x14ac:dyDescent="0.25"/>
  <cols>
    <col min="1" max="1" width="2.28515625" customWidth="1"/>
    <col min="2" max="2" width="12.5703125" style="247" customWidth="1"/>
    <col min="3" max="3" width="63.140625" style="247" customWidth="1"/>
    <col min="4" max="4" width="21.5703125" style="247" bestFit="1" customWidth="1"/>
    <col min="5" max="5" width="17" style="248" customWidth="1"/>
    <col min="6" max="6" width="14.85546875" style="247" bestFit="1" customWidth="1"/>
    <col min="7" max="7" width="13" style="247" bestFit="1" customWidth="1"/>
    <col min="8" max="10" width="14.5703125" style="247" bestFit="1" customWidth="1"/>
    <col min="11" max="11" width="13.5703125" style="247" bestFit="1" customWidth="1"/>
    <col min="12" max="12" width="11.5703125" style="247" bestFit="1" customWidth="1" outlineLevel="1"/>
    <col min="13" max="13" width="11.140625" style="247" bestFit="1" customWidth="1" outlineLevel="1"/>
    <col min="14" max="14" width="11.42578125" style="247" bestFit="1" customWidth="1" outlineLevel="1"/>
    <col min="15" max="16" width="12.140625" style="247" bestFit="1" customWidth="1" outlineLevel="1"/>
    <col min="17" max="17" width="11.7109375" style="247" bestFit="1" customWidth="1" outlineLevel="1"/>
    <col min="18" max="20" width="13.5703125" style="247" bestFit="1" customWidth="1" outlineLevel="1"/>
    <col min="21" max="23" width="13.140625" style="247" bestFit="1" customWidth="1" outlineLevel="1"/>
    <col min="24" max="26" width="12.140625" style="247" bestFit="1" customWidth="1" outlineLevel="1"/>
    <col min="27" max="27" width="11.140625" style="247" bestFit="1" customWidth="1" outlineLevel="1"/>
    <col min="28" max="28" width="10.28515625" style="247" bestFit="1" customWidth="1" outlineLevel="1"/>
    <col min="29" max="29" width="9.7109375" style="247" bestFit="1" customWidth="1" outlineLevel="1"/>
    <col min="30" max="30" width="10" style="247" bestFit="1" customWidth="1" outlineLevel="1"/>
    <col min="31" max="32" width="11.140625" style="247" bestFit="1" customWidth="1" outlineLevel="1"/>
    <col min="33" max="33" width="12.140625" style="247" bestFit="1" customWidth="1" outlineLevel="1"/>
    <col min="34" max="34" width="11.7109375" style="247" bestFit="1" customWidth="1" outlineLevel="1"/>
    <col min="35" max="35" width="12.140625" style="247" bestFit="1" customWidth="1"/>
    <col min="36" max="259" width="9.140625" style="247"/>
    <col min="260" max="260" width="54.28515625" style="247" customWidth="1"/>
    <col min="261" max="261" width="12.28515625" style="247" customWidth="1"/>
    <col min="262" max="274" width="0" style="247" hidden="1" customWidth="1"/>
    <col min="275" max="275" width="11.42578125" style="247" customWidth="1"/>
    <col min="276" max="289" width="0" style="247" hidden="1" customWidth="1"/>
    <col min="290" max="290" width="11.42578125" style="247" customWidth="1"/>
    <col min="291" max="291" width="13.85546875" style="247" customWidth="1"/>
    <col min="292" max="515" width="9.140625" style="247"/>
    <col min="516" max="516" width="54.28515625" style="247" customWidth="1"/>
    <col min="517" max="517" width="12.28515625" style="247" customWidth="1"/>
    <col min="518" max="530" width="0" style="247" hidden="1" customWidth="1"/>
    <col min="531" max="531" width="11.42578125" style="247" customWidth="1"/>
    <col min="532" max="545" width="0" style="247" hidden="1" customWidth="1"/>
    <col min="546" max="546" width="11.42578125" style="247" customWidth="1"/>
    <col min="547" max="547" width="13.85546875" style="247" customWidth="1"/>
    <col min="548" max="771" width="9.140625" style="247"/>
    <col min="772" max="772" width="54.28515625" style="247" customWidth="1"/>
    <col min="773" max="773" width="12.28515625" style="247" customWidth="1"/>
    <col min="774" max="786" width="0" style="247" hidden="1" customWidth="1"/>
    <col min="787" max="787" width="11.42578125" style="247" customWidth="1"/>
    <col min="788" max="801" width="0" style="247" hidden="1" customWidth="1"/>
    <col min="802" max="802" width="11.42578125" style="247" customWidth="1"/>
    <col min="803" max="803" width="13.85546875" style="247" customWidth="1"/>
    <col min="804" max="1027" width="9.140625" style="247"/>
    <col min="1028" max="1028" width="54.28515625" style="247" customWidth="1"/>
    <col min="1029" max="1029" width="12.28515625" style="247" customWidth="1"/>
    <col min="1030" max="1042" width="0" style="247" hidden="1" customWidth="1"/>
    <col min="1043" max="1043" width="11.42578125" style="247" customWidth="1"/>
    <col min="1044" max="1057" width="0" style="247" hidden="1" customWidth="1"/>
    <col min="1058" max="1058" width="11.42578125" style="247" customWidth="1"/>
    <col min="1059" max="1059" width="13.85546875" style="247" customWidth="1"/>
    <col min="1060" max="1283" width="9.140625" style="247"/>
    <col min="1284" max="1284" width="54.28515625" style="247" customWidth="1"/>
    <col min="1285" max="1285" width="12.28515625" style="247" customWidth="1"/>
    <col min="1286" max="1298" width="0" style="247" hidden="1" customWidth="1"/>
    <col min="1299" max="1299" width="11.42578125" style="247" customWidth="1"/>
    <col min="1300" max="1313" width="0" style="247" hidden="1" customWidth="1"/>
    <col min="1314" max="1314" width="11.42578125" style="247" customWidth="1"/>
    <col min="1315" max="1315" width="13.85546875" style="247" customWidth="1"/>
    <col min="1316" max="1539" width="9.140625" style="247"/>
    <col min="1540" max="1540" width="54.28515625" style="247" customWidth="1"/>
    <col min="1541" max="1541" width="12.28515625" style="247" customWidth="1"/>
    <col min="1542" max="1554" width="0" style="247" hidden="1" customWidth="1"/>
    <col min="1555" max="1555" width="11.42578125" style="247" customWidth="1"/>
    <col min="1556" max="1569" width="0" style="247" hidden="1" customWidth="1"/>
    <col min="1570" max="1570" width="11.42578125" style="247" customWidth="1"/>
    <col min="1571" max="1571" width="13.85546875" style="247" customWidth="1"/>
    <col min="1572" max="1795" width="9.140625" style="247"/>
    <col min="1796" max="1796" width="54.28515625" style="247" customWidth="1"/>
    <col min="1797" max="1797" width="12.28515625" style="247" customWidth="1"/>
    <col min="1798" max="1810" width="0" style="247" hidden="1" customWidth="1"/>
    <col min="1811" max="1811" width="11.42578125" style="247" customWidth="1"/>
    <col min="1812" max="1825" width="0" style="247" hidden="1" customWidth="1"/>
    <col min="1826" max="1826" width="11.42578125" style="247" customWidth="1"/>
    <col min="1827" max="1827" width="13.85546875" style="247" customWidth="1"/>
    <col min="1828" max="2051" width="9.140625" style="247"/>
    <col min="2052" max="2052" width="54.28515625" style="247" customWidth="1"/>
    <col min="2053" max="2053" width="12.28515625" style="247" customWidth="1"/>
    <col min="2054" max="2066" width="0" style="247" hidden="1" customWidth="1"/>
    <col min="2067" max="2067" width="11.42578125" style="247" customWidth="1"/>
    <col min="2068" max="2081" width="0" style="247" hidden="1" customWidth="1"/>
    <col min="2082" max="2082" width="11.42578125" style="247" customWidth="1"/>
    <col min="2083" max="2083" width="13.85546875" style="247" customWidth="1"/>
    <col min="2084" max="2307" width="9.140625" style="247"/>
    <col min="2308" max="2308" width="54.28515625" style="247" customWidth="1"/>
    <col min="2309" max="2309" width="12.28515625" style="247" customWidth="1"/>
    <col min="2310" max="2322" width="0" style="247" hidden="1" customWidth="1"/>
    <col min="2323" max="2323" width="11.42578125" style="247" customWidth="1"/>
    <col min="2324" max="2337" width="0" style="247" hidden="1" customWidth="1"/>
    <col min="2338" max="2338" width="11.42578125" style="247" customWidth="1"/>
    <col min="2339" max="2339" width="13.85546875" style="247" customWidth="1"/>
    <col min="2340" max="2563" width="9.140625" style="247"/>
    <col min="2564" max="2564" width="54.28515625" style="247" customWidth="1"/>
    <col min="2565" max="2565" width="12.28515625" style="247" customWidth="1"/>
    <col min="2566" max="2578" width="0" style="247" hidden="1" customWidth="1"/>
    <col min="2579" max="2579" width="11.42578125" style="247" customWidth="1"/>
    <col min="2580" max="2593" width="0" style="247" hidden="1" customWidth="1"/>
    <col min="2594" max="2594" width="11.42578125" style="247" customWidth="1"/>
    <col min="2595" max="2595" width="13.85546875" style="247" customWidth="1"/>
    <col min="2596" max="2819" width="9.140625" style="247"/>
    <col min="2820" max="2820" width="54.28515625" style="247" customWidth="1"/>
    <col min="2821" max="2821" width="12.28515625" style="247" customWidth="1"/>
    <col min="2822" max="2834" width="0" style="247" hidden="1" customWidth="1"/>
    <col min="2835" max="2835" width="11.42578125" style="247" customWidth="1"/>
    <col min="2836" max="2849" width="0" style="247" hidden="1" customWidth="1"/>
    <col min="2850" max="2850" width="11.42578125" style="247" customWidth="1"/>
    <col min="2851" max="2851" width="13.85546875" style="247" customWidth="1"/>
    <col min="2852" max="3075" width="9.140625" style="247"/>
    <col min="3076" max="3076" width="54.28515625" style="247" customWidth="1"/>
    <col min="3077" max="3077" width="12.28515625" style="247" customWidth="1"/>
    <col min="3078" max="3090" width="0" style="247" hidden="1" customWidth="1"/>
    <col min="3091" max="3091" width="11.42578125" style="247" customWidth="1"/>
    <col min="3092" max="3105" width="0" style="247" hidden="1" customWidth="1"/>
    <col min="3106" max="3106" width="11.42578125" style="247" customWidth="1"/>
    <col min="3107" max="3107" width="13.85546875" style="247" customWidth="1"/>
    <col min="3108" max="3331" width="9.140625" style="247"/>
    <col min="3332" max="3332" width="54.28515625" style="247" customWidth="1"/>
    <col min="3333" max="3333" width="12.28515625" style="247" customWidth="1"/>
    <col min="3334" max="3346" width="0" style="247" hidden="1" customWidth="1"/>
    <col min="3347" max="3347" width="11.42578125" style="247" customWidth="1"/>
    <col min="3348" max="3361" width="0" style="247" hidden="1" customWidth="1"/>
    <col min="3362" max="3362" width="11.42578125" style="247" customWidth="1"/>
    <col min="3363" max="3363" width="13.85546875" style="247" customWidth="1"/>
    <col min="3364" max="3587" width="9.140625" style="247"/>
    <col min="3588" max="3588" width="54.28515625" style="247" customWidth="1"/>
    <col min="3589" max="3589" width="12.28515625" style="247" customWidth="1"/>
    <col min="3590" max="3602" width="0" style="247" hidden="1" customWidth="1"/>
    <col min="3603" max="3603" width="11.42578125" style="247" customWidth="1"/>
    <col min="3604" max="3617" width="0" style="247" hidden="1" customWidth="1"/>
    <col min="3618" max="3618" width="11.42578125" style="247" customWidth="1"/>
    <col min="3619" max="3619" width="13.85546875" style="247" customWidth="1"/>
    <col min="3620" max="3843" width="9.140625" style="247"/>
    <col min="3844" max="3844" width="54.28515625" style="247" customWidth="1"/>
    <col min="3845" max="3845" width="12.28515625" style="247" customWidth="1"/>
    <col min="3846" max="3858" width="0" style="247" hidden="1" customWidth="1"/>
    <col min="3859" max="3859" width="11.42578125" style="247" customWidth="1"/>
    <col min="3860" max="3873" width="0" style="247" hidden="1" customWidth="1"/>
    <col min="3874" max="3874" width="11.42578125" style="247" customWidth="1"/>
    <col min="3875" max="3875" width="13.85546875" style="247" customWidth="1"/>
    <col min="3876" max="4099" width="9.140625" style="247"/>
    <col min="4100" max="4100" width="54.28515625" style="247" customWidth="1"/>
    <col min="4101" max="4101" width="12.28515625" style="247" customWidth="1"/>
    <col min="4102" max="4114" width="0" style="247" hidden="1" customWidth="1"/>
    <col min="4115" max="4115" width="11.42578125" style="247" customWidth="1"/>
    <col min="4116" max="4129" width="0" style="247" hidden="1" customWidth="1"/>
    <col min="4130" max="4130" width="11.42578125" style="247" customWidth="1"/>
    <col min="4131" max="4131" width="13.85546875" style="247" customWidth="1"/>
    <col min="4132" max="4355" width="9.140625" style="247"/>
    <col min="4356" max="4356" width="54.28515625" style="247" customWidth="1"/>
    <col min="4357" max="4357" width="12.28515625" style="247" customWidth="1"/>
    <col min="4358" max="4370" width="0" style="247" hidden="1" customWidth="1"/>
    <col min="4371" max="4371" width="11.42578125" style="247" customWidth="1"/>
    <col min="4372" max="4385" width="0" style="247" hidden="1" customWidth="1"/>
    <col min="4386" max="4386" width="11.42578125" style="247" customWidth="1"/>
    <col min="4387" max="4387" width="13.85546875" style="247" customWidth="1"/>
    <col min="4388" max="4611" width="9.140625" style="247"/>
    <col min="4612" max="4612" width="54.28515625" style="247" customWidth="1"/>
    <col min="4613" max="4613" width="12.28515625" style="247" customWidth="1"/>
    <col min="4614" max="4626" width="0" style="247" hidden="1" customWidth="1"/>
    <col min="4627" max="4627" width="11.42578125" style="247" customWidth="1"/>
    <col min="4628" max="4641" width="0" style="247" hidden="1" customWidth="1"/>
    <col min="4642" max="4642" width="11.42578125" style="247" customWidth="1"/>
    <col min="4643" max="4643" width="13.85546875" style="247" customWidth="1"/>
    <col min="4644" max="4867" width="9.140625" style="247"/>
    <col min="4868" max="4868" width="54.28515625" style="247" customWidth="1"/>
    <col min="4869" max="4869" width="12.28515625" style="247" customWidth="1"/>
    <col min="4870" max="4882" width="0" style="247" hidden="1" customWidth="1"/>
    <col min="4883" max="4883" width="11.42578125" style="247" customWidth="1"/>
    <col min="4884" max="4897" width="0" style="247" hidden="1" customWidth="1"/>
    <col min="4898" max="4898" width="11.42578125" style="247" customWidth="1"/>
    <col min="4899" max="4899" width="13.85546875" style="247" customWidth="1"/>
    <col min="4900" max="5123" width="9.140625" style="247"/>
    <col min="5124" max="5124" width="54.28515625" style="247" customWidth="1"/>
    <col min="5125" max="5125" width="12.28515625" style="247" customWidth="1"/>
    <col min="5126" max="5138" width="0" style="247" hidden="1" customWidth="1"/>
    <col min="5139" max="5139" width="11.42578125" style="247" customWidth="1"/>
    <col min="5140" max="5153" width="0" style="247" hidden="1" customWidth="1"/>
    <col min="5154" max="5154" width="11.42578125" style="247" customWidth="1"/>
    <col min="5155" max="5155" width="13.85546875" style="247" customWidth="1"/>
    <col min="5156" max="5379" width="9.140625" style="247"/>
    <col min="5380" max="5380" width="54.28515625" style="247" customWidth="1"/>
    <col min="5381" max="5381" width="12.28515625" style="247" customWidth="1"/>
    <col min="5382" max="5394" width="0" style="247" hidden="1" customWidth="1"/>
    <col min="5395" max="5395" width="11.42578125" style="247" customWidth="1"/>
    <col min="5396" max="5409" width="0" style="247" hidden="1" customWidth="1"/>
    <col min="5410" max="5410" width="11.42578125" style="247" customWidth="1"/>
    <col min="5411" max="5411" width="13.85546875" style="247" customWidth="1"/>
    <col min="5412" max="5635" width="9.140625" style="247"/>
    <col min="5636" max="5636" width="54.28515625" style="247" customWidth="1"/>
    <col min="5637" max="5637" width="12.28515625" style="247" customWidth="1"/>
    <col min="5638" max="5650" width="0" style="247" hidden="1" customWidth="1"/>
    <col min="5651" max="5651" width="11.42578125" style="247" customWidth="1"/>
    <col min="5652" max="5665" width="0" style="247" hidden="1" customWidth="1"/>
    <col min="5666" max="5666" width="11.42578125" style="247" customWidth="1"/>
    <col min="5667" max="5667" width="13.85546875" style="247" customWidth="1"/>
    <col min="5668" max="5891" width="9.140625" style="247"/>
    <col min="5892" max="5892" width="54.28515625" style="247" customWidth="1"/>
    <col min="5893" max="5893" width="12.28515625" style="247" customWidth="1"/>
    <col min="5894" max="5906" width="0" style="247" hidden="1" customWidth="1"/>
    <col min="5907" max="5907" width="11.42578125" style="247" customWidth="1"/>
    <col min="5908" max="5921" width="0" style="247" hidden="1" customWidth="1"/>
    <col min="5922" max="5922" width="11.42578125" style="247" customWidth="1"/>
    <col min="5923" max="5923" width="13.85546875" style="247" customWidth="1"/>
    <col min="5924" max="6147" width="9.140625" style="247"/>
    <col min="6148" max="6148" width="54.28515625" style="247" customWidth="1"/>
    <col min="6149" max="6149" width="12.28515625" style="247" customWidth="1"/>
    <col min="6150" max="6162" width="0" style="247" hidden="1" customWidth="1"/>
    <col min="6163" max="6163" width="11.42578125" style="247" customWidth="1"/>
    <col min="6164" max="6177" width="0" style="247" hidden="1" customWidth="1"/>
    <col min="6178" max="6178" width="11.42578125" style="247" customWidth="1"/>
    <col min="6179" max="6179" width="13.85546875" style="247" customWidth="1"/>
    <col min="6180" max="6403" width="9.140625" style="247"/>
    <col min="6404" max="6404" width="54.28515625" style="247" customWidth="1"/>
    <col min="6405" max="6405" width="12.28515625" style="247" customWidth="1"/>
    <col min="6406" max="6418" width="0" style="247" hidden="1" customWidth="1"/>
    <col min="6419" max="6419" width="11.42578125" style="247" customWidth="1"/>
    <col min="6420" max="6433" width="0" style="247" hidden="1" customWidth="1"/>
    <col min="6434" max="6434" width="11.42578125" style="247" customWidth="1"/>
    <col min="6435" max="6435" width="13.85546875" style="247" customWidth="1"/>
    <col min="6436" max="6659" width="9.140625" style="247"/>
    <col min="6660" max="6660" width="54.28515625" style="247" customWidth="1"/>
    <col min="6661" max="6661" width="12.28515625" style="247" customWidth="1"/>
    <col min="6662" max="6674" width="0" style="247" hidden="1" customWidth="1"/>
    <col min="6675" max="6675" width="11.42578125" style="247" customWidth="1"/>
    <col min="6676" max="6689" width="0" style="247" hidden="1" customWidth="1"/>
    <col min="6690" max="6690" width="11.42578125" style="247" customWidth="1"/>
    <col min="6691" max="6691" width="13.85546875" style="247" customWidth="1"/>
    <col min="6692" max="6915" width="9.140625" style="247"/>
    <col min="6916" max="6916" width="54.28515625" style="247" customWidth="1"/>
    <col min="6917" max="6917" width="12.28515625" style="247" customWidth="1"/>
    <col min="6918" max="6930" width="0" style="247" hidden="1" customWidth="1"/>
    <col min="6931" max="6931" width="11.42578125" style="247" customWidth="1"/>
    <col min="6932" max="6945" width="0" style="247" hidden="1" customWidth="1"/>
    <col min="6946" max="6946" width="11.42578125" style="247" customWidth="1"/>
    <col min="6947" max="6947" width="13.85546875" style="247" customWidth="1"/>
    <col min="6948" max="7171" width="9.140625" style="247"/>
    <col min="7172" max="7172" width="54.28515625" style="247" customWidth="1"/>
    <col min="7173" max="7173" width="12.28515625" style="247" customWidth="1"/>
    <col min="7174" max="7186" width="0" style="247" hidden="1" customWidth="1"/>
    <col min="7187" max="7187" width="11.42578125" style="247" customWidth="1"/>
    <col min="7188" max="7201" width="0" style="247" hidden="1" customWidth="1"/>
    <col min="7202" max="7202" width="11.42578125" style="247" customWidth="1"/>
    <col min="7203" max="7203" width="13.85546875" style="247" customWidth="1"/>
    <col min="7204" max="7427" width="9.140625" style="247"/>
    <col min="7428" max="7428" width="54.28515625" style="247" customWidth="1"/>
    <col min="7429" max="7429" width="12.28515625" style="247" customWidth="1"/>
    <col min="7430" max="7442" width="0" style="247" hidden="1" customWidth="1"/>
    <col min="7443" max="7443" width="11.42578125" style="247" customWidth="1"/>
    <col min="7444" max="7457" width="0" style="247" hidden="1" customWidth="1"/>
    <col min="7458" max="7458" width="11.42578125" style="247" customWidth="1"/>
    <col min="7459" max="7459" width="13.85546875" style="247" customWidth="1"/>
    <col min="7460" max="7683" width="9.140625" style="247"/>
    <col min="7684" max="7684" width="54.28515625" style="247" customWidth="1"/>
    <col min="7685" max="7685" width="12.28515625" style="247" customWidth="1"/>
    <col min="7686" max="7698" width="0" style="247" hidden="1" customWidth="1"/>
    <col min="7699" max="7699" width="11.42578125" style="247" customWidth="1"/>
    <col min="7700" max="7713" width="0" style="247" hidden="1" customWidth="1"/>
    <col min="7714" max="7714" width="11.42578125" style="247" customWidth="1"/>
    <col min="7715" max="7715" width="13.85546875" style="247" customWidth="1"/>
    <col min="7716" max="7939" width="9.140625" style="247"/>
    <col min="7940" max="7940" width="54.28515625" style="247" customWidth="1"/>
    <col min="7941" max="7941" width="12.28515625" style="247" customWidth="1"/>
    <col min="7942" max="7954" width="0" style="247" hidden="1" customWidth="1"/>
    <col min="7955" max="7955" width="11.42578125" style="247" customWidth="1"/>
    <col min="7956" max="7969" width="0" style="247" hidden="1" customWidth="1"/>
    <col min="7970" max="7970" width="11.42578125" style="247" customWidth="1"/>
    <col min="7971" max="7971" width="13.85546875" style="247" customWidth="1"/>
    <col min="7972" max="8195" width="9.140625" style="247"/>
    <col min="8196" max="8196" width="54.28515625" style="247" customWidth="1"/>
    <col min="8197" max="8197" width="12.28515625" style="247" customWidth="1"/>
    <col min="8198" max="8210" width="0" style="247" hidden="1" customWidth="1"/>
    <col min="8211" max="8211" width="11.42578125" style="247" customWidth="1"/>
    <col min="8212" max="8225" width="0" style="247" hidden="1" customWidth="1"/>
    <col min="8226" max="8226" width="11.42578125" style="247" customWidth="1"/>
    <col min="8227" max="8227" width="13.85546875" style="247" customWidth="1"/>
    <col min="8228" max="8451" width="9.140625" style="247"/>
    <col min="8452" max="8452" width="54.28515625" style="247" customWidth="1"/>
    <col min="8453" max="8453" width="12.28515625" style="247" customWidth="1"/>
    <col min="8454" max="8466" width="0" style="247" hidden="1" customWidth="1"/>
    <col min="8467" max="8467" width="11.42578125" style="247" customWidth="1"/>
    <col min="8468" max="8481" width="0" style="247" hidden="1" customWidth="1"/>
    <col min="8482" max="8482" width="11.42578125" style="247" customWidth="1"/>
    <col min="8483" max="8483" width="13.85546875" style="247" customWidth="1"/>
    <col min="8484" max="8707" width="9.140625" style="247"/>
    <col min="8708" max="8708" width="54.28515625" style="247" customWidth="1"/>
    <col min="8709" max="8709" width="12.28515625" style="247" customWidth="1"/>
    <col min="8710" max="8722" width="0" style="247" hidden="1" customWidth="1"/>
    <col min="8723" max="8723" width="11.42578125" style="247" customWidth="1"/>
    <col min="8724" max="8737" width="0" style="247" hidden="1" customWidth="1"/>
    <col min="8738" max="8738" width="11.42578125" style="247" customWidth="1"/>
    <col min="8739" max="8739" width="13.85546875" style="247" customWidth="1"/>
    <col min="8740" max="8963" width="9.140625" style="247"/>
    <col min="8964" max="8964" width="54.28515625" style="247" customWidth="1"/>
    <col min="8965" max="8965" width="12.28515625" style="247" customWidth="1"/>
    <col min="8966" max="8978" width="0" style="247" hidden="1" customWidth="1"/>
    <col min="8979" max="8979" width="11.42578125" style="247" customWidth="1"/>
    <col min="8980" max="8993" width="0" style="247" hidden="1" customWidth="1"/>
    <col min="8994" max="8994" width="11.42578125" style="247" customWidth="1"/>
    <col min="8995" max="8995" width="13.85546875" style="247" customWidth="1"/>
    <col min="8996" max="9219" width="9.140625" style="247"/>
    <col min="9220" max="9220" width="54.28515625" style="247" customWidth="1"/>
    <col min="9221" max="9221" width="12.28515625" style="247" customWidth="1"/>
    <col min="9222" max="9234" width="0" style="247" hidden="1" customWidth="1"/>
    <col min="9235" max="9235" width="11.42578125" style="247" customWidth="1"/>
    <col min="9236" max="9249" width="0" style="247" hidden="1" customWidth="1"/>
    <col min="9250" max="9250" width="11.42578125" style="247" customWidth="1"/>
    <col min="9251" max="9251" width="13.85546875" style="247" customWidth="1"/>
    <col min="9252" max="9475" width="9.140625" style="247"/>
    <col min="9476" max="9476" width="54.28515625" style="247" customWidth="1"/>
    <col min="9477" max="9477" width="12.28515625" style="247" customWidth="1"/>
    <col min="9478" max="9490" width="0" style="247" hidden="1" customWidth="1"/>
    <col min="9491" max="9491" width="11.42578125" style="247" customWidth="1"/>
    <col min="9492" max="9505" width="0" style="247" hidden="1" customWidth="1"/>
    <col min="9506" max="9506" width="11.42578125" style="247" customWidth="1"/>
    <col min="9507" max="9507" width="13.85546875" style="247" customWidth="1"/>
    <col min="9508" max="9731" width="9.140625" style="247"/>
    <col min="9732" max="9732" width="54.28515625" style="247" customWidth="1"/>
    <col min="9733" max="9733" width="12.28515625" style="247" customWidth="1"/>
    <col min="9734" max="9746" width="0" style="247" hidden="1" customWidth="1"/>
    <col min="9747" max="9747" width="11.42578125" style="247" customWidth="1"/>
    <col min="9748" max="9761" width="0" style="247" hidden="1" customWidth="1"/>
    <col min="9762" max="9762" width="11.42578125" style="247" customWidth="1"/>
    <col min="9763" max="9763" width="13.85546875" style="247" customWidth="1"/>
    <col min="9764" max="9987" width="9.140625" style="247"/>
    <col min="9988" max="9988" width="54.28515625" style="247" customWidth="1"/>
    <col min="9989" max="9989" width="12.28515625" style="247" customWidth="1"/>
    <col min="9990" max="10002" width="0" style="247" hidden="1" customWidth="1"/>
    <col min="10003" max="10003" width="11.42578125" style="247" customWidth="1"/>
    <col min="10004" max="10017" width="0" style="247" hidden="1" customWidth="1"/>
    <col min="10018" max="10018" width="11.42578125" style="247" customWidth="1"/>
    <col min="10019" max="10019" width="13.85546875" style="247" customWidth="1"/>
    <col min="10020" max="10243" width="9.140625" style="247"/>
    <col min="10244" max="10244" width="54.28515625" style="247" customWidth="1"/>
    <col min="10245" max="10245" width="12.28515625" style="247" customWidth="1"/>
    <col min="10246" max="10258" width="0" style="247" hidden="1" customWidth="1"/>
    <col min="10259" max="10259" width="11.42578125" style="247" customWidth="1"/>
    <col min="10260" max="10273" width="0" style="247" hidden="1" customWidth="1"/>
    <col min="10274" max="10274" width="11.42578125" style="247" customWidth="1"/>
    <col min="10275" max="10275" width="13.85546875" style="247" customWidth="1"/>
    <col min="10276" max="10499" width="9.140625" style="247"/>
    <col min="10500" max="10500" width="54.28515625" style="247" customWidth="1"/>
    <col min="10501" max="10501" width="12.28515625" style="247" customWidth="1"/>
    <col min="10502" max="10514" width="0" style="247" hidden="1" customWidth="1"/>
    <col min="10515" max="10515" width="11.42578125" style="247" customWidth="1"/>
    <col min="10516" max="10529" width="0" style="247" hidden="1" customWidth="1"/>
    <col min="10530" max="10530" width="11.42578125" style="247" customWidth="1"/>
    <col min="10531" max="10531" width="13.85546875" style="247" customWidth="1"/>
    <col min="10532" max="10755" width="9.140625" style="247"/>
    <col min="10756" max="10756" width="54.28515625" style="247" customWidth="1"/>
    <col min="10757" max="10757" width="12.28515625" style="247" customWidth="1"/>
    <col min="10758" max="10770" width="0" style="247" hidden="1" customWidth="1"/>
    <col min="10771" max="10771" width="11.42578125" style="247" customWidth="1"/>
    <col min="10772" max="10785" width="0" style="247" hidden="1" customWidth="1"/>
    <col min="10786" max="10786" width="11.42578125" style="247" customWidth="1"/>
    <col min="10787" max="10787" width="13.85546875" style="247" customWidth="1"/>
    <col min="10788" max="11011" width="9.140625" style="247"/>
    <col min="11012" max="11012" width="54.28515625" style="247" customWidth="1"/>
    <col min="11013" max="11013" width="12.28515625" style="247" customWidth="1"/>
    <col min="11014" max="11026" width="0" style="247" hidden="1" customWidth="1"/>
    <col min="11027" max="11027" width="11.42578125" style="247" customWidth="1"/>
    <col min="11028" max="11041" width="0" style="247" hidden="1" customWidth="1"/>
    <col min="11042" max="11042" width="11.42578125" style="247" customWidth="1"/>
    <col min="11043" max="11043" width="13.85546875" style="247" customWidth="1"/>
    <col min="11044" max="11267" width="9.140625" style="247"/>
    <col min="11268" max="11268" width="54.28515625" style="247" customWidth="1"/>
    <col min="11269" max="11269" width="12.28515625" style="247" customWidth="1"/>
    <col min="11270" max="11282" width="0" style="247" hidden="1" customWidth="1"/>
    <col min="11283" max="11283" width="11.42578125" style="247" customWidth="1"/>
    <col min="11284" max="11297" width="0" style="247" hidden="1" customWidth="1"/>
    <col min="11298" max="11298" width="11.42578125" style="247" customWidth="1"/>
    <col min="11299" max="11299" width="13.85546875" style="247" customWidth="1"/>
    <col min="11300" max="11523" width="9.140625" style="247"/>
    <col min="11524" max="11524" width="54.28515625" style="247" customWidth="1"/>
    <col min="11525" max="11525" width="12.28515625" style="247" customWidth="1"/>
    <col min="11526" max="11538" width="0" style="247" hidden="1" customWidth="1"/>
    <col min="11539" max="11539" width="11.42578125" style="247" customWidth="1"/>
    <col min="11540" max="11553" width="0" style="247" hidden="1" customWidth="1"/>
    <col min="11554" max="11554" width="11.42578125" style="247" customWidth="1"/>
    <col min="11555" max="11555" width="13.85546875" style="247" customWidth="1"/>
    <col min="11556" max="11779" width="9.140625" style="247"/>
    <col min="11780" max="11780" width="54.28515625" style="247" customWidth="1"/>
    <col min="11781" max="11781" width="12.28515625" style="247" customWidth="1"/>
    <col min="11782" max="11794" width="0" style="247" hidden="1" customWidth="1"/>
    <col min="11795" max="11795" width="11.42578125" style="247" customWidth="1"/>
    <col min="11796" max="11809" width="0" style="247" hidden="1" customWidth="1"/>
    <col min="11810" max="11810" width="11.42578125" style="247" customWidth="1"/>
    <col min="11811" max="11811" width="13.85546875" style="247" customWidth="1"/>
    <col min="11812" max="12035" width="9.140625" style="247"/>
    <col min="12036" max="12036" width="54.28515625" style="247" customWidth="1"/>
    <col min="12037" max="12037" width="12.28515625" style="247" customWidth="1"/>
    <col min="12038" max="12050" width="0" style="247" hidden="1" customWidth="1"/>
    <col min="12051" max="12051" width="11.42578125" style="247" customWidth="1"/>
    <col min="12052" max="12065" width="0" style="247" hidden="1" customWidth="1"/>
    <col min="12066" max="12066" width="11.42578125" style="247" customWidth="1"/>
    <col min="12067" max="12067" width="13.85546875" style="247" customWidth="1"/>
    <col min="12068" max="12291" width="9.140625" style="247"/>
    <col min="12292" max="12292" width="54.28515625" style="247" customWidth="1"/>
    <col min="12293" max="12293" width="12.28515625" style="247" customWidth="1"/>
    <col min="12294" max="12306" width="0" style="247" hidden="1" customWidth="1"/>
    <col min="12307" max="12307" width="11.42578125" style="247" customWidth="1"/>
    <col min="12308" max="12321" width="0" style="247" hidden="1" customWidth="1"/>
    <col min="12322" max="12322" width="11.42578125" style="247" customWidth="1"/>
    <col min="12323" max="12323" width="13.85546875" style="247" customWidth="1"/>
    <col min="12324" max="12547" width="9.140625" style="247"/>
    <col min="12548" max="12548" width="54.28515625" style="247" customWidth="1"/>
    <col min="12549" max="12549" width="12.28515625" style="247" customWidth="1"/>
    <col min="12550" max="12562" width="0" style="247" hidden="1" customWidth="1"/>
    <col min="12563" max="12563" width="11.42578125" style="247" customWidth="1"/>
    <col min="12564" max="12577" width="0" style="247" hidden="1" customWidth="1"/>
    <col min="12578" max="12578" width="11.42578125" style="247" customWidth="1"/>
    <col min="12579" max="12579" width="13.85546875" style="247" customWidth="1"/>
    <col min="12580" max="12803" width="9.140625" style="247"/>
    <col min="12804" max="12804" width="54.28515625" style="247" customWidth="1"/>
    <col min="12805" max="12805" width="12.28515625" style="247" customWidth="1"/>
    <col min="12806" max="12818" width="0" style="247" hidden="1" customWidth="1"/>
    <col min="12819" max="12819" width="11.42578125" style="247" customWidth="1"/>
    <col min="12820" max="12833" width="0" style="247" hidden="1" customWidth="1"/>
    <col min="12834" max="12834" width="11.42578125" style="247" customWidth="1"/>
    <col min="12835" max="12835" width="13.85546875" style="247" customWidth="1"/>
    <col min="12836" max="13059" width="9.140625" style="247"/>
    <col min="13060" max="13060" width="54.28515625" style="247" customWidth="1"/>
    <col min="13061" max="13061" width="12.28515625" style="247" customWidth="1"/>
    <col min="13062" max="13074" width="0" style="247" hidden="1" customWidth="1"/>
    <col min="13075" max="13075" width="11.42578125" style="247" customWidth="1"/>
    <col min="13076" max="13089" width="0" style="247" hidden="1" customWidth="1"/>
    <col min="13090" max="13090" width="11.42578125" style="247" customWidth="1"/>
    <col min="13091" max="13091" width="13.85546875" style="247" customWidth="1"/>
    <col min="13092" max="13315" width="9.140625" style="247"/>
    <col min="13316" max="13316" width="54.28515625" style="247" customWidth="1"/>
    <col min="13317" max="13317" width="12.28515625" style="247" customWidth="1"/>
    <col min="13318" max="13330" width="0" style="247" hidden="1" customWidth="1"/>
    <col min="13331" max="13331" width="11.42578125" style="247" customWidth="1"/>
    <col min="13332" max="13345" width="0" style="247" hidden="1" customWidth="1"/>
    <col min="13346" max="13346" width="11.42578125" style="247" customWidth="1"/>
    <col min="13347" max="13347" width="13.85546875" style="247" customWidth="1"/>
    <col min="13348" max="13571" width="9.140625" style="247"/>
    <col min="13572" max="13572" width="54.28515625" style="247" customWidth="1"/>
    <col min="13573" max="13573" width="12.28515625" style="247" customWidth="1"/>
    <col min="13574" max="13586" width="0" style="247" hidden="1" customWidth="1"/>
    <col min="13587" max="13587" width="11.42578125" style="247" customWidth="1"/>
    <col min="13588" max="13601" width="0" style="247" hidden="1" customWidth="1"/>
    <col min="13602" max="13602" width="11.42578125" style="247" customWidth="1"/>
    <col min="13603" max="13603" width="13.85546875" style="247" customWidth="1"/>
    <col min="13604" max="13827" width="9.140625" style="247"/>
    <col min="13828" max="13828" width="54.28515625" style="247" customWidth="1"/>
    <col min="13829" max="13829" width="12.28515625" style="247" customWidth="1"/>
    <col min="13830" max="13842" width="0" style="247" hidden="1" customWidth="1"/>
    <col min="13843" max="13843" width="11.42578125" style="247" customWidth="1"/>
    <col min="13844" max="13857" width="0" style="247" hidden="1" customWidth="1"/>
    <col min="13858" max="13858" width="11.42578125" style="247" customWidth="1"/>
    <col min="13859" max="13859" width="13.85546875" style="247" customWidth="1"/>
    <col min="13860" max="14083" width="9.140625" style="247"/>
    <col min="14084" max="14084" width="54.28515625" style="247" customWidth="1"/>
    <col min="14085" max="14085" width="12.28515625" style="247" customWidth="1"/>
    <col min="14086" max="14098" width="0" style="247" hidden="1" customWidth="1"/>
    <col min="14099" max="14099" width="11.42578125" style="247" customWidth="1"/>
    <col min="14100" max="14113" width="0" style="247" hidden="1" customWidth="1"/>
    <col min="14114" max="14114" width="11.42578125" style="247" customWidth="1"/>
    <col min="14115" max="14115" width="13.85546875" style="247" customWidth="1"/>
    <col min="14116" max="14339" width="9.140625" style="247"/>
    <col min="14340" max="14340" width="54.28515625" style="247" customWidth="1"/>
    <col min="14341" max="14341" width="12.28515625" style="247" customWidth="1"/>
    <col min="14342" max="14354" width="0" style="247" hidden="1" customWidth="1"/>
    <col min="14355" max="14355" width="11.42578125" style="247" customWidth="1"/>
    <col min="14356" max="14369" width="0" style="247" hidden="1" customWidth="1"/>
    <col min="14370" max="14370" width="11.42578125" style="247" customWidth="1"/>
    <col min="14371" max="14371" width="13.85546875" style="247" customWidth="1"/>
    <col min="14372" max="14595" width="9.140625" style="247"/>
    <col min="14596" max="14596" width="54.28515625" style="247" customWidth="1"/>
    <col min="14597" max="14597" width="12.28515625" style="247" customWidth="1"/>
    <col min="14598" max="14610" width="0" style="247" hidden="1" customWidth="1"/>
    <col min="14611" max="14611" width="11.42578125" style="247" customWidth="1"/>
    <col min="14612" max="14625" width="0" style="247" hidden="1" customWidth="1"/>
    <col min="14626" max="14626" width="11.42578125" style="247" customWidth="1"/>
    <col min="14627" max="14627" width="13.85546875" style="247" customWidth="1"/>
    <col min="14628" max="14851" width="9.140625" style="247"/>
    <col min="14852" max="14852" width="54.28515625" style="247" customWidth="1"/>
    <col min="14853" max="14853" width="12.28515625" style="247" customWidth="1"/>
    <col min="14854" max="14866" width="0" style="247" hidden="1" customWidth="1"/>
    <col min="14867" max="14867" width="11.42578125" style="247" customWidth="1"/>
    <col min="14868" max="14881" width="0" style="247" hidden="1" customWidth="1"/>
    <col min="14882" max="14882" width="11.42578125" style="247" customWidth="1"/>
    <col min="14883" max="14883" width="13.85546875" style="247" customWidth="1"/>
    <col min="14884" max="15107" width="9.140625" style="247"/>
    <col min="15108" max="15108" width="54.28515625" style="247" customWidth="1"/>
    <col min="15109" max="15109" width="12.28515625" style="247" customWidth="1"/>
    <col min="15110" max="15122" width="0" style="247" hidden="1" customWidth="1"/>
    <col min="15123" max="15123" width="11.42578125" style="247" customWidth="1"/>
    <col min="15124" max="15137" width="0" style="247" hidden="1" customWidth="1"/>
    <col min="15138" max="15138" width="11.42578125" style="247" customWidth="1"/>
    <col min="15139" max="15139" width="13.85546875" style="247" customWidth="1"/>
    <col min="15140" max="15363" width="9.140625" style="247"/>
    <col min="15364" max="15364" width="54.28515625" style="247" customWidth="1"/>
    <col min="15365" max="15365" width="12.28515625" style="247" customWidth="1"/>
    <col min="15366" max="15378" width="0" style="247" hidden="1" customWidth="1"/>
    <col min="15379" max="15379" width="11.42578125" style="247" customWidth="1"/>
    <col min="15380" max="15393" width="0" style="247" hidden="1" customWidth="1"/>
    <col min="15394" max="15394" width="11.42578125" style="247" customWidth="1"/>
    <col min="15395" max="15395" width="13.85546875" style="247" customWidth="1"/>
    <col min="15396" max="15619" width="9.140625" style="247"/>
    <col min="15620" max="15620" width="54.28515625" style="247" customWidth="1"/>
    <col min="15621" max="15621" width="12.28515625" style="247" customWidth="1"/>
    <col min="15622" max="15634" width="0" style="247" hidden="1" customWidth="1"/>
    <col min="15635" max="15635" width="11.42578125" style="247" customWidth="1"/>
    <col min="15636" max="15649" width="0" style="247" hidden="1" customWidth="1"/>
    <col min="15650" max="15650" width="11.42578125" style="247" customWidth="1"/>
    <col min="15651" max="15651" width="13.85546875" style="247" customWidth="1"/>
    <col min="15652" max="15875" width="9.140625" style="247"/>
    <col min="15876" max="15876" width="54.28515625" style="247" customWidth="1"/>
    <col min="15877" max="15877" width="12.28515625" style="247" customWidth="1"/>
    <col min="15878" max="15890" width="0" style="247" hidden="1" customWidth="1"/>
    <col min="15891" max="15891" width="11.42578125" style="247" customWidth="1"/>
    <col min="15892" max="15905" width="0" style="247" hidden="1" customWidth="1"/>
    <col min="15906" max="15906" width="11.42578125" style="247" customWidth="1"/>
    <col min="15907" max="15907" width="13.85546875" style="247" customWidth="1"/>
    <col min="15908" max="16131" width="9.140625" style="247"/>
    <col min="16132" max="16132" width="54.28515625" style="247" customWidth="1"/>
    <col min="16133" max="16133" width="12.28515625" style="247" customWidth="1"/>
    <col min="16134" max="16146" width="0" style="247" hidden="1" customWidth="1"/>
    <col min="16147" max="16147" width="11.42578125" style="247" customWidth="1"/>
    <col min="16148" max="16161" width="0" style="247" hidden="1" customWidth="1"/>
    <col min="16162" max="16162" width="11.42578125" style="247" customWidth="1"/>
    <col min="16163" max="16163" width="13.85546875" style="247" customWidth="1"/>
    <col min="16164" max="16384" width="9.140625" style="247"/>
  </cols>
  <sheetData>
    <row r="1" spans="1:40" ht="16.5" hidden="1" customHeight="1" x14ac:dyDescent="0.25"/>
    <row r="2" spans="1:40" s="249" customFormat="1" ht="58.5" customHeight="1" x14ac:dyDescent="0.25">
      <c r="A2"/>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row>
    <row r="3" spans="1:40" s="249" customFormat="1" ht="18.75" customHeight="1" x14ac:dyDescent="0.25">
      <c r="A3"/>
      <c r="B3" s="251" t="s">
        <v>10</v>
      </c>
      <c r="C3" s="251"/>
      <c r="D3" s="252" t="s">
        <v>11</v>
      </c>
      <c r="F3" s="253"/>
      <c r="G3" s="253"/>
      <c r="H3" s="253"/>
      <c r="I3" s="253"/>
      <c r="J3" s="253">
        <f>(243.85-223.5)*0.6</f>
        <v>12.209999999999996</v>
      </c>
      <c r="K3" s="253">
        <f>(360-339.22)*0.6</f>
        <v>12.467999999999984</v>
      </c>
      <c r="L3" s="253"/>
      <c r="M3" s="253"/>
      <c r="N3" s="253"/>
      <c r="O3" s="253"/>
      <c r="P3" s="253"/>
      <c r="Q3" s="253"/>
      <c r="R3" s="253"/>
      <c r="S3" s="253"/>
      <c r="T3" s="253"/>
      <c r="U3" s="253"/>
      <c r="V3" s="253"/>
      <c r="W3" s="253"/>
      <c r="X3" s="253"/>
      <c r="Y3" s="253"/>
      <c r="Z3" s="253"/>
      <c r="AA3" s="253"/>
      <c r="AB3" s="253"/>
      <c r="AC3" s="253"/>
      <c r="AD3" s="253"/>
      <c r="AE3" s="253"/>
      <c r="AF3" s="253"/>
      <c r="AG3" s="253"/>
      <c r="AH3" s="253"/>
      <c r="AI3" s="253"/>
    </row>
    <row r="4" spans="1:40" s="259" customFormat="1" ht="15" x14ac:dyDescent="0.25">
      <c r="A4"/>
      <c r="B4" s="255" t="s">
        <v>1</v>
      </c>
      <c r="C4" s="256"/>
      <c r="D4" s="256"/>
      <c r="E4" s="257" t="s">
        <v>1</v>
      </c>
      <c r="F4" s="258"/>
      <c r="G4" s="258"/>
      <c r="H4" s="258"/>
      <c r="I4" s="258"/>
      <c r="J4" s="258"/>
      <c r="K4" s="258"/>
      <c r="L4" s="258"/>
      <c r="M4" s="258"/>
      <c r="N4" s="258"/>
      <c r="O4" s="258"/>
      <c r="P4" s="258"/>
      <c r="Q4" s="258"/>
      <c r="R4" s="258"/>
      <c r="S4" s="258"/>
      <c r="T4" s="258"/>
      <c r="U4" s="258"/>
      <c r="V4" s="258"/>
      <c r="W4" s="258"/>
      <c r="X4" s="258"/>
      <c r="Y4" s="258"/>
      <c r="Z4" s="258"/>
      <c r="AA4" s="258"/>
      <c r="AB4" s="258"/>
      <c r="AC4" s="258"/>
      <c r="AD4" s="258"/>
      <c r="AE4" s="258"/>
      <c r="AF4" s="258"/>
      <c r="AG4" s="258"/>
      <c r="AH4" s="258"/>
      <c r="AI4" s="258"/>
    </row>
    <row r="5" spans="1:40" s="248" customFormat="1" ht="16.5" customHeight="1" x14ac:dyDescent="0.25">
      <c r="A5"/>
      <c r="B5" s="327" t="s">
        <v>12</v>
      </c>
      <c r="C5" s="328"/>
      <c r="D5" s="260" t="s">
        <v>3</v>
      </c>
      <c r="E5" s="260" t="s">
        <v>4</v>
      </c>
      <c r="F5" s="261">
        <v>1</v>
      </c>
      <c r="G5" s="261">
        <f t="shared" ref="G5:AI5" si="0">F5+1</f>
        <v>2</v>
      </c>
      <c r="H5" s="261">
        <f t="shared" si="0"/>
        <v>3</v>
      </c>
      <c r="I5" s="261">
        <f t="shared" si="0"/>
        <v>4</v>
      </c>
      <c r="J5" s="261">
        <f t="shared" si="0"/>
        <v>5</v>
      </c>
      <c r="K5" s="261">
        <f t="shared" si="0"/>
        <v>6</v>
      </c>
      <c r="L5" s="261">
        <f t="shared" si="0"/>
        <v>7</v>
      </c>
      <c r="M5" s="261">
        <f t="shared" si="0"/>
        <v>8</v>
      </c>
      <c r="N5" s="261">
        <f t="shared" si="0"/>
        <v>9</v>
      </c>
      <c r="O5" s="261">
        <f t="shared" si="0"/>
        <v>10</v>
      </c>
      <c r="P5" s="261">
        <f t="shared" si="0"/>
        <v>11</v>
      </c>
      <c r="Q5" s="261">
        <f t="shared" si="0"/>
        <v>12</v>
      </c>
      <c r="R5" s="261">
        <f t="shared" si="0"/>
        <v>13</v>
      </c>
      <c r="S5" s="261">
        <f t="shared" si="0"/>
        <v>14</v>
      </c>
      <c r="T5" s="261">
        <f t="shared" si="0"/>
        <v>15</v>
      </c>
      <c r="U5" s="261">
        <f t="shared" si="0"/>
        <v>16</v>
      </c>
      <c r="V5" s="261">
        <f t="shared" si="0"/>
        <v>17</v>
      </c>
      <c r="W5" s="261">
        <f t="shared" si="0"/>
        <v>18</v>
      </c>
      <c r="X5" s="261">
        <f t="shared" si="0"/>
        <v>19</v>
      </c>
      <c r="Y5" s="261">
        <f t="shared" si="0"/>
        <v>20</v>
      </c>
      <c r="Z5" s="261">
        <f t="shared" si="0"/>
        <v>21</v>
      </c>
      <c r="AA5" s="261">
        <f t="shared" si="0"/>
        <v>22</v>
      </c>
      <c r="AB5" s="261">
        <f t="shared" si="0"/>
        <v>23</v>
      </c>
      <c r="AC5" s="261">
        <f t="shared" si="0"/>
        <v>24</v>
      </c>
      <c r="AD5" s="261">
        <f t="shared" si="0"/>
        <v>25</v>
      </c>
      <c r="AE5" s="261">
        <f t="shared" si="0"/>
        <v>26</v>
      </c>
      <c r="AF5" s="261">
        <f t="shared" si="0"/>
        <v>27</v>
      </c>
      <c r="AG5" s="261">
        <f t="shared" si="0"/>
        <v>28</v>
      </c>
      <c r="AH5" s="261">
        <f t="shared" si="0"/>
        <v>29</v>
      </c>
      <c r="AI5" s="261">
        <f t="shared" si="0"/>
        <v>30</v>
      </c>
    </row>
    <row r="6" spans="1:40" s="248" customFormat="1" ht="16.5" customHeight="1" thickBot="1" x14ac:dyDescent="0.3">
      <c r="A6"/>
      <c r="B6" s="234"/>
      <c r="C6" s="234" t="s">
        <v>13</v>
      </c>
      <c r="D6" s="254">
        <f t="shared" ref="D6" si="1">NPV(0.0868,F6:AI6)</f>
        <v>230645.65350444784</v>
      </c>
      <c r="E6" s="229">
        <f>SUM(F6:AI6)</f>
        <v>310064.94117304171</v>
      </c>
      <c r="F6" s="230">
        <f t="shared" ref="F6:AI6" si="2">SUBTOTAL(9,F7:F13)</f>
        <v>58246.210703969227</v>
      </c>
      <c r="G6" s="230">
        <f t="shared" si="2"/>
        <v>47848.829660924122</v>
      </c>
      <c r="H6" s="230">
        <f t="shared" si="2"/>
        <v>47848.829660924122</v>
      </c>
      <c r="I6" s="230">
        <f t="shared" si="2"/>
        <v>47848.829660924122</v>
      </c>
      <c r="J6" s="230">
        <f t="shared" si="2"/>
        <v>47848.829660924122</v>
      </c>
      <c r="K6" s="230">
        <f t="shared" si="2"/>
        <v>47848.829660924122</v>
      </c>
      <c r="L6" s="230">
        <f t="shared" si="2"/>
        <v>2773.024547865532</v>
      </c>
      <c r="M6" s="230">
        <f t="shared" si="2"/>
        <v>2087.8079553655321</v>
      </c>
      <c r="N6" s="230">
        <f t="shared" si="2"/>
        <v>370.43997536553223</v>
      </c>
      <c r="O6" s="230">
        <f t="shared" si="2"/>
        <v>349.68141361212793</v>
      </c>
      <c r="P6" s="230">
        <f t="shared" si="2"/>
        <v>349.68141361212793</v>
      </c>
      <c r="Q6" s="230">
        <f t="shared" si="2"/>
        <v>349.68141361212793</v>
      </c>
      <c r="R6" s="230">
        <f t="shared" si="2"/>
        <v>349.68141361212793</v>
      </c>
      <c r="S6" s="230">
        <f t="shared" si="2"/>
        <v>349.68141361212793</v>
      </c>
      <c r="T6" s="230">
        <f t="shared" si="2"/>
        <v>349.68141361212793</v>
      </c>
      <c r="U6" s="230">
        <f t="shared" si="2"/>
        <v>349.68141361212793</v>
      </c>
      <c r="V6" s="230">
        <f t="shared" si="2"/>
        <v>349.68141361212793</v>
      </c>
      <c r="W6" s="230">
        <f t="shared" si="2"/>
        <v>349.68141361212793</v>
      </c>
      <c r="X6" s="230">
        <f t="shared" si="2"/>
        <v>349.68141361212793</v>
      </c>
      <c r="Y6" s="230">
        <f t="shared" si="2"/>
        <v>349.68141361212793</v>
      </c>
      <c r="Z6" s="230">
        <f t="shared" si="2"/>
        <v>349.68141361212793</v>
      </c>
      <c r="AA6" s="230">
        <f t="shared" si="2"/>
        <v>349.68141361212793</v>
      </c>
      <c r="AB6" s="230">
        <f t="shared" si="2"/>
        <v>349.68141361212793</v>
      </c>
      <c r="AC6" s="230">
        <f t="shared" si="2"/>
        <v>349.68141361212793</v>
      </c>
      <c r="AD6" s="230">
        <f t="shared" si="2"/>
        <v>349.68141361212793</v>
      </c>
      <c r="AE6" s="230">
        <f t="shared" si="2"/>
        <v>349.68141361212793</v>
      </c>
      <c r="AF6" s="230">
        <f t="shared" si="2"/>
        <v>349.68141361212793</v>
      </c>
      <c r="AG6" s="230">
        <f t="shared" si="2"/>
        <v>349.68141361212793</v>
      </c>
      <c r="AH6" s="230">
        <f t="shared" si="2"/>
        <v>349.68141361212793</v>
      </c>
      <c r="AI6" s="230">
        <f t="shared" si="2"/>
        <v>349.68141361212793</v>
      </c>
    </row>
    <row r="7" spans="1:40" s="248" customFormat="1" ht="16.5" customHeight="1" thickTop="1" x14ac:dyDescent="0.25">
      <c r="A7"/>
      <c r="B7" s="236">
        <v>6</v>
      </c>
      <c r="C7" s="262" t="s">
        <v>5</v>
      </c>
      <c r="D7" s="263">
        <f t="shared" ref="D7:D13" si="3">NPV(0.0868,F7:AI7)</f>
        <v>230645.65350444784</v>
      </c>
      <c r="E7" s="264">
        <f>SUM(E8:E13)</f>
        <v>310064.94117304112</v>
      </c>
      <c r="F7" s="240">
        <f t="shared" ref="F7:AI7" si="4">SUBTOTAL(9,F8:F13)</f>
        <v>58246.210703969227</v>
      </c>
      <c r="G7" s="240">
        <f t="shared" si="4"/>
        <v>47848.829660924122</v>
      </c>
      <c r="H7" s="240">
        <f t="shared" si="4"/>
        <v>47848.829660924122</v>
      </c>
      <c r="I7" s="240">
        <f t="shared" si="4"/>
        <v>47848.829660924122</v>
      </c>
      <c r="J7" s="240">
        <f t="shared" si="4"/>
        <v>47848.829660924122</v>
      </c>
      <c r="K7" s="240">
        <f t="shared" si="4"/>
        <v>47848.829660924122</v>
      </c>
      <c r="L7" s="240">
        <f t="shared" si="4"/>
        <v>2773.024547865532</v>
      </c>
      <c r="M7" s="240">
        <f t="shared" si="4"/>
        <v>2087.8079553655321</v>
      </c>
      <c r="N7" s="240">
        <f t="shared" si="4"/>
        <v>370.43997536553223</v>
      </c>
      <c r="O7" s="240">
        <f t="shared" si="4"/>
        <v>349.68141361212793</v>
      </c>
      <c r="P7" s="240">
        <f t="shared" si="4"/>
        <v>349.68141361212793</v>
      </c>
      <c r="Q7" s="240">
        <f t="shared" si="4"/>
        <v>349.68141361212793</v>
      </c>
      <c r="R7" s="240">
        <f t="shared" si="4"/>
        <v>349.68141361212793</v>
      </c>
      <c r="S7" s="240">
        <f t="shared" si="4"/>
        <v>349.68141361212793</v>
      </c>
      <c r="T7" s="240">
        <f t="shared" si="4"/>
        <v>349.68141361212793</v>
      </c>
      <c r="U7" s="240">
        <f t="shared" si="4"/>
        <v>349.68141361212793</v>
      </c>
      <c r="V7" s="240">
        <f t="shared" si="4"/>
        <v>349.68141361212793</v>
      </c>
      <c r="W7" s="240">
        <f t="shared" si="4"/>
        <v>349.68141361212793</v>
      </c>
      <c r="X7" s="240">
        <f t="shared" si="4"/>
        <v>349.68141361212793</v>
      </c>
      <c r="Y7" s="240">
        <f t="shared" si="4"/>
        <v>349.68141361212793</v>
      </c>
      <c r="Z7" s="240">
        <f t="shared" si="4"/>
        <v>349.68141361212793</v>
      </c>
      <c r="AA7" s="240">
        <f t="shared" si="4"/>
        <v>349.68141361212793</v>
      </c>
      <c r="AB7" s="240">
        <f t="shared" si="4"/>
        <v>349.68141361212793</v>
      </c>
      <c r="AC7" s="240">
        <f t="shared" si="4"/>
        <v>349.68141361212793</v>
      </c>
      <c r="AD7" s="240">
        <f t="shared" si="4"/>
        <v>349.68141361212793</v>
      </c>
      <c r="AE7" s="240">
        <f t="shared" si="4"/>
        <v>349.68141361212793</v>
      </c>
      <c r="AF7" s="240">
        <f t="shared" si="4"/>
        <v>349.68141361212793</v>
      </c>
      <c r="AG7" s="240">
        <f t="shared" si="4"/>
        <v>349.68141361212793</v>
      </c>
      <c r="AH7" s="240">
        <f t="shared" si="4"/>
        <v>349.68141361212793</v>
      </c>
      <c r="AI7" s="240">
        <f t="shared" si="4"/>
        <v>349.68141361212793</v>
      </c>
    </row>
    <row r="8" spans="1:40" s="248" customFormat="1" ht="16.5" customHeight="1" outlineLevel="2" x14ac:dyDescent="0.25">
      <c r="A8"/>
      <c r="B8" s="267" t="s">
        <v>14</v>
      </c>
      <c r="C8" s="266" t="s">
        <v>16</v>
      </c>
      <c r="D8" s="265">
        <f t="shared" si="3"/>
        <v>2423.2675009201325</v>
      </c>
      <c r="E8" s="268">
        <f t="shared" ref="E8:E13" si="5">SUM(F8:AI8)</f>
        <v>2633.6071200000001</v>
      </c>
      <c r="F8" s="243">
        <f>(CAPEX!$D$15)/1000</f>
        <v>2633.6071200000001</v>
      </c>
      <c r="G8" s="243"/>
      <c r="H8" s="243"/>
      <c r="I8" s="243">
        <v>0</v>
      </c>
      <c r="J8" s="243">
        <v>0</v>
      </c>
      <c r="K8" s="243">
        <v>0</v>
      </c>
      <c r="L8" s="243">
        <v>0</v>
      </c>
      <c r="M8" s="243">
        <v>0</v>
      </c>
      <c r="N8" s="243">
        <v>0</v>
      </c>
      <c r="O8" s="243">
        <v>0</v>
      </c>
      <c r="P8" s="243">
        <v>0</v>
      </c>
      <c r="Q8" s="243">
        <v>0</v>
      </c>
      <c r="R8" s="243">
        <v>0</v>
      </c>
      <c r="S8" s="243">
        <v>0</v>
      </c>
      <c r="T8" s="243">
        <v>0</v>
      </c>
      <c r="U8" s="243">
        <v>0</v>
      </c>
      <c r="V8" s="243">
        <v>0</v>
      </c>
      <c r="W8" s="243">
        <v>0</v>
      </c>
      <c r="X8" s="243">
        <v>0</v>
      </c>
      <c r="Y8" s="243">
        <v>0</v>
      </c>
      <c r="Z8" s="243">
        <v>0</v>
      </c>
      <c r="AA8" s="243">
        <v>0</v>
      </c>
      <c r="AB8" s="243">
        <v>0</v>
      </c>
      <c r="AC8" s="243">
        <v>0</v>
      </c>
      <c r="AD8" s="243">
        <v>0</v>
      </c>
      <c r="AE8" s="243">
        <v>0</v>
      </c>
      <c r="AF8" s="243">
        <v>0</v>
      </c>
      <c r="AG8" s="243">
        <v>0</v>
      </c>
      <c r="AH8" s="243">
        <v>0</v>
      </c>
      <c r="AI8" s="243">
        <v>0</v>
      </c>
      <c r="AN8" s="247"/>
    </row>
    <row r="9" spans="1:40" s="248" customFormat="1" ht="16.5" customHeight="1" outlineLevel="2" x14ac:dyDescent="0.25">
      <c r="A9"/>
      <c r="B9" s="267" t="s">
        <v>15</v>
      </c>
      <c r="C9" s="266" t="s">
        <v>18</v>
      </c>
      <c r="D9" s="265">
        <f t="shared" si="3"/>
        <v>88.683493785376783</v>
      </c>
      <c r="E9" s="268">
        <f t="shared" si="5"/>
        <v>122.86743997664708</v>
      </c>
      <c r="F9" s="243">
        <v>0</v>
      </c>
      <c r="G9" s="243">
        <f>(CAPEX!$D$18/5)/1000</f>
        <v>24.573487995329415</v>
      </c>
      <c r="H9" s="243">
        <f>(CAPEX!$D$18/5)/1000</f>
        <v>24.573487995329415</v>
      </c>
      <c r="I9" s="243">
        <f>(CAPEX!$D$18/5)/1000</f>
        <v>24.573487995329415</v>
      </c>
      <c r="J9" s="243">
        <f>(CAPEX!$D$18/5)/1000</f>
        <v>24.573487995329415</v>
      </c>
      <c r="K9" s="243">
        <f>(CAPEX!$D$18/5)/1000</f>
        <v>24.573487995329415</v>
      </c>
      <c r="L9" s="243">
        <v>0</v>
      </c>
      <c r="M9" s="243">
        <v>0</v>
      </c>
      <c r="N9" s="243">
        <v>0</v>
      </c>
      <c r="O9" s="243">
        <v>0</v>
      </c>
      <c r="P9" s="243">
        <v>0</v>
      </c>
      <c r="Q9" s="243">
        <v>0</v>
      </c>
      <c r="R9" s="243">
        <v>0</v>
      </c>
      <c r="S9" s="243">
        <v>0</v>
      </c>
      <c r="T9" s="243">
        <v>0</v>
      </c>
      <c r="U9" s="243">
        <v>0</v>
      </c>
      <c r="V9" s="243">
        <v>0</v>
      </c>
      <c r="W9" s="243">
        <v>0</v>
      </c>
      <c r="X9" s="243">
        <v>0</v>
      </c>
      <c r="Y9" s="243">
        <v>0</v>
      </c>
      <c r="Z9" s="243">
        <v>0</v>
      </c>
      <c r="AA9" s="243">
        <v>0</v>
      </c>
      <c r="AB9" s="243">
        <v>0</v>
      </c>
      <c r="AC9" s="243">
        <v>0</v>
      </c>
      <c r="AD9" s="243">
        <v>0</v>
      </c>
      <c r="AE9" s="243">
        <v>0</v>
      </c>
      <c r="AF9" s="243">
        <v>0</v>
      </c>
      <c r="AG9" s="243">
        <v>0</v>
      </c>
      <c r="AH9" s="243">
        <v>0</v>
      </c>
      <c r="AI9" s="243">
        <v>0</v>
      </c>
      <c r="AN9" s="247"/>
    </row>
    <row r="10" spans="1:40" s="248" customFormat="1" ht="16.5" customHeight="1" outlineLevel="2" x14ac:dyDescent="0.25">
      <c r="A10"/>
      <c r="B10" s="267" t="s">
        <v>17</v>
      </c>
      <c r="C10" s="266" t="s">
        <v>20</v>
      </c>
      <c r="D10" s="265">
        <f t="shared" si="3"/>
        <v>106.98761213022944</v>
      </c>
      <c r="E10" s="268">
        <f t="shared" si="5"/>
        <v>166.06849402723455</v>
      </c>
      <c r="F10" s="243">
        <v>0</v>
      </c>
      <c r="G10" s="243">
        <f>(CAPEX!$D$21/8)/1000</f>
        <v>20.758561753404319</v>
      </c>
      <c r="H10" s="243">
        <f>(CAPEX!$D$21/8)/1000</f>
        <v>20.758561753404319</v>
      </c>
      <c r="I10" s="243">
        <f>(CAPEX!$D$21/8)/1000</f>
        <v>20.758561753404319</v>
      </c>
      <c r="J10" s="243">
        <f>(CAPEX!$D$21/8)/1000</f>
        <v>20.758561753404319</v>
      </c>
      <c r="K10" s="243">
        <f>(CAPEX!$D$21/8)/1000</f>
        <v>20.758561753404319</v>
      </c>
      <c r="L10" s="243">
        <f>(CAPEX!$D$21/8)/1000</f>
        <v>20.758561753404319</v>
      </c>
      <c r="M10" s="243">
        <f>(CAPEX!$D$21/8)/1000</f>
        <v>20.758561753404319</v>
      </c>
      <c r="N10" s="243">
        <f>(CAPEX!$D$21/8)/1000</f>
        <v>20.758561753404319</v>
      </c>
      <c r="O10" s="243"/>
      <c r="P10" s="243">
        <v>0</v>
      </c>
      <c r="Q10" s="243">
        <v>0</v>
      </c>
      <c r="R10" s="243">
        <v>0</v>
      </c>
      <c r="S10" s="243">
        <v>0</v>
      </c>
      <c r="T10" s="243">
        <v>0</v>
      </c>
      <c r="U10" s="243">
        <v>0</v>
      </c>
      <c r="V10" s="243">
        <v>0</v>
      </c>
      <c r="W10" s="243">
        <v>0</v>
      </c>
      <c r="X10" s="243">
        <v>0</v>
      </c>
      <c r="Y10" s="243">
        <v>0</v>
      </c>
      <c r="Z10" s="243">
        <v>0</v>
      </c>
      <c r="AA10" s="243">
        <v>0</v>
      </c>
      <c r="AB10" s="243">
        <v>0</v>
      </c>
      <c r="AC10" s="243">
        <v>0</v>
      </c>
      <c r="AD10" s="243">
        <v>0</v>
      </c>
      <c r="AE10" s="243">
        <v>0</v>
      </c>
      <c r="AF10" s="243">
        <v>0</v>
      </c>
      <c r="AG10" s="243">
        <v>0</v>
      </c>
      <c r="AH10" s="243">
        <v>0</v>
      </c>
      <c r="AI10" s="243">
        <v>0</v>
      </c>
      <c r="AN10" s="247"/>
    </row>
    <row r="11" spans="1:40" s="248" customFormat="1" ht="16.5" customHeight="1" outlineLevel="2" x14ac:dyDescent="0.25">
      <c r="A11"/>
      <c r="B11" s="267" t="s">
        <v>19</v>
      </c>
      <c r="C11" s="266" t="s">
        <v>23</v>
      </c>
      <c r="D11" s="265">
        <f t="shared" si="3"/>
        <v>211731.64574567453</v>
      </c>
      <c r="E11" s="268">
        <f t="shared" si="5"/>
        <v>278063.01791984617</v>
      </c>
      <c r="F11" s="243">
        <f>(20%*CAPEX!$D$29)/1000</f>
        <v>55612.603583969227</v>
      </c>
      <c r="G11" s="243">
        <f>((CAPEX!$D$29*80%)/5)/1000</f>
        <v>44490.082867175384</v>
      </c>
      <c r="H11" s="243">
        <f>((CAPEX!$D$29*80%)/5)/1000</f>
        <v>44490.082867175384</v>
      </c>
      <c r="I11" s="243">
        <f>((CAPEX!$D$29*80%)/5)/1000</f>
        <v>44490.082867175384</v>
      </c>
      <c r="J11" s="243">
        <f>((CAPEX!$D$29*80%)/5)/1000</f>
        <v>44490.082867175384</v>
      </c>
      <c r="K11" s="243">
        <f>((CAPEX!$D$29*80%)/5)/1000</f>
        <v>44490.082867175384</v>
      </c>
      <c r="L11" s="243">
        <v>0</v>
      </c>
      <c r="M11" s="243"/>
      <c r="N11" s="243"/>
      <c r="O11" s="243"/>
      <c r="P11" s="243"/>
      <c r="Q11" s="243"/>
      <c r="R11" s="243"/>
      <c r="S11" s="243">
        <v>0</v>
      </c>
      <c r="T11" s="243">
        <v>0</v>
      </c>
      <c r="U11" s="243">
        <v>0</v>
      </c>
      <c r="V11" s="243">
        <v>0</v>
      </c>
      <c r="W11" s="243">
        <v>0</v>
      </c>
      <c r="X11" s="243"/>
      <c r="Y11" s="243"/>
      <c r="Z11" s="243"/>
      <c r="AA11" s="243"/>
      <c r="AB11" s="243"/>
      <c r="AC11" s="243"/>
      <c r="AD11" s="243"/>
      <c r="AE11" s="243"/>
      <c r="AF11" s="243"/>
      <c r="AG11" s="243"/>
      <c r="AH11" s="243"/>
      <c r="AI11" s="243"/>
      <c r="AN11" s="247"/>
    </row>
    <row r="12" spans="1:40" s="248" customFormat="1" ht="16.5" customHeight="1" outlineLevel="2" x14ac:dyDescent="0.25">
      <c r="A12"/>
      <c r="B12" s="267" t="s">
        <v>21</v>
      </c>
      <c r="C12" s="266" t="s">
        <v>25</v>
      </c>
      <c r="D12" s="265">
        <f t="shared" si="3"/>
        <v>11957.813881112432</v>
      </c>
      <c r="E12" s="268">
        <f t="shared" si="5"/>
        <v>16567.07372</v>
      </c>
      <c r="F12" s="243">
        <v>0</v>
      </c>
      <c r="G12" s="243">
        <f>(CAPEX!$D$49/5)/1000</f>
        <v>3313.4147440000002</v>
      </c>
      <c r="H12" s="243">
        <f>(CAPEX!$D$49/5)/1000</f>
        <v>3313.4147440000002</v>
      </c>
      <c r="I12" s="243">
        <f>(CAPEX!$D$49/5)/1000</f>
        <v>3313.4147440000002</v>
      </c>
      <c r="J12" s="243">
        <f>(CAPEX!$D$49/5)/1000</f>
        <v>3313.4147440000002</v>
      </c>
      <c r="K12" s="243">
        <f>(CAPEX!$D$49/5)/1000</f>
        <v>3313.4147440000002</v>
      </c>
      <c r="L12" s="243">
        <v>0</v>
      </c>
      <c r="M12" s="243">
        <v>0</v>
      </c>
      <c r="N12" s="243">
        <v>0</v>
      </c>
      <c r="O12" s="243">
        <v>0</v>
      </c>
      <c r="P12" s="243">
        <v>0</v>
      </c>
      <c r="Q12" s="243">
        <v>0</v>
      </c>
      <c r="R12" s="243">
        <v>0</v>
      </c>
      <c r="S12" s="243">
        <v>0</v>
      </c>
      <c r="T12" s="243">
        <v>0</v>
      </c>
      <c r="U12" s="243">
        <v>0</v>
      </c>
      <c r="V12" s="243">
        <v>0</v>
      </c>
      <c r="W12" s="243">
        <v>0</v>
      </c>
      <c r="X12" s="243">
        <v>0</v>
      </c>
      <c r="Y12" s="243">
        <v>0</v>
      </c>
      <c r="Z12" s="243">
        <v>0</v>
      </c>
      <c r="AA12" s="243">
        <v>0</v>
      </c>
      <c r="AB12" s="243">
        <v>0</v>
      </c>
      <c r="AC12" s="243">
        <v>0</v>
      </c>
      <c r="AD12" s="243">
        <v>0</v>
      </c>
      <c r="AE12" s="243">
        <v>0</v>
      </c>
      <c r="AF12" s="243">
        <v>0</v>
      </c>
      <c r="AG12" s="243">
        <v>0</v>
      </c>
      <c r="AH12" s="243">
        <v>0</v>
      </c>
      <c r="AI12" s="243">
        <v>0</v>
      </c>
      <c r="AN12" s="247"/>
    </row>
    <row r="13" spans="1:40" ht="16.5" customHeight="1" outlineLevel="2" x14ac:dyDescent="0.25">
      <c r="A13" s="247"/>
      <c r="B13" s="267" t="s">
        <v>22</v>
      </c>
      <c r="C13" s="266" t="s">
        <v>27</v>
      </c>
      <c r="D13" s="265">
        <f t="shared" si="3"/>
        <v>4337.2552708251078</v>
      </c>
      <c r="E13" s="268">
        <f t="shared" si="5"/>
        <v>12512.30647919108</v>
      </c>
      <c r="F13" s="243">
        <v>0</v>
      </c>
      <c r="G13" s="243">
        <v>0</v>
      </c>
      <c r="H13" s="243">
        <v>0</v>
      </c>
      <c r="I13" s="243">
        <v>0</v>
      </c>
      <c r="J13" s="243">
        <v>0</v>
      </c>
      <c r="K13" s="243">
        <v>0</v>
      </c>
      <c r="L13" s="243">
        <f>((CAPEX!$D$51/2)/1000)+(CAPEX!$D$52/1000)+(CAPEX!$D$53/1000)+((CAPEX!$D$54/24)/1000)+(CAPEX!$D$56/1000)+((CAPEX!D57/24)/1000)+((CAPEX!$D$55/24)/1000)</f>
        <v>2752.2659861121278</v>
      </c>
      <c r="M13" s="243">
        <f>((CAPEX!$D$51/2)/1000)+((CAPEX!$D$54/24)/1000)+((CAPEX!$D$57/24)/1000)+((CAPEX!$D$55/24)/1000)</f>
        <v>2067.0493936121279</v>
      </c>
      <c r="N13" s="243">
        <f>((CAPEX!$D$54/24)/1000)+((CAPEX!$D$57/24)/1000)+((CAPEX!$D$55/24)/1000)</f>
        <v>349.68141361212793</v>
      </c>
      <c r="O13" s="243">
        <f>((CAPEX!$D$54/24)/1000)+((CAPEX!$D$57/24)/1000)+((CAPEX!$D$55/24)/1000)</f>
        <v>349.68141361212793</v>
      </c>
      <c r="P13" s="243">
        <f>((CAPEX!$D$54/24)/1000)+((CAPEX!$D$57/24)/1000)+((CAPEX!$D$55/24)/1000)</f>
        <v>349.68141361212793</v>
      </c>
      <c r="Q13" s="243">
        <f>((CAPEX!$D$54/24)/1000)+((CAPEX!$D$57/24)/1000)+((CAPEX!$D$55/24)/1000)</f>
        <v>349.68141361212793</v>
      </c>
      <c r="R13" s="243">
        <f>((CAPEX!$D$54/24)/1000)+((CAPEX!$D$57/24)/1000)+((CAPEX!$D$55/24)/1000)</f>
        <v>349.68141361212793</v>
      </c>
      <c r="S13" s="243">
        <f>((CAPEX!$D$54/24)/1000)+((CAPEX!$D$57/24)/1000)+((CAPEX!$D$55/24)/1000)</f>
        <v>349.68141361212793</v>
      </c>
      <c r="T13" s="243">
        <f>((CAPEX!$D$54/24)/1000)+((CAPEX!$D$57/24)/1000)+((CAPEX!$D$55/24)/1000)</f>
        <v>349.68141361212793</v>
      </c>
      <c r="U13" s="243">
        <f>((CAPEX!$D$54/24)/1000)+((CAPEX!$D$57/24)/1000)+((CAPEX!$D$55/24)/1000)</f>
        <v>349.68141361212793</v>
      </c>
      <c r="V13" s="243">
        <f>((CAPEX!$D$54/24)/1000)+((CAPEX!$D$57/24)/1000)+((CAPEX!$D$55/24)/1000)</f>
        <v>349.68141361212793</v>
      </c>
      <c r="W13" s="243">
        <f>((CAPEX!$D$54/24)/1000)+((CAPEX!$D$57/24)/1000)+((CAPEX!$D$55/24)/1000)</f>
        <v>349.68141361212793</v>
      </c>
      <c r="X13" s="243">
        <f>((CAPEX!$D$54/24)/1000)+((CAPEX!$D$57/24)/1000)+((CAPEX!$D$55/24)/1000)</f>
        <v>349.68141361212793</v>
      </c>
      <c r="Y13" s="243">
        <f>((CAPEX!$D$54/24)/1000)+((CAPEX!$D$57/24)/1000)+((CAPEX!$D$55/24)/1000)</f>
        <v>349.68141361212793</v>
      </c>
      <c r="Z13" s="243">
        <f>((CAPEX!$D$54/24)/1000)+((CAPEX!$D$57/24)/1000)+((CAPEX!$D$55/24)/1000)</f>
        <v>349.68141361212793</v>
      </c>
      <c r="AA13" s="243">
        <f>((CAPEX!$D$54/24)/1000)+((CAPEX!$D$57/24)/1000)+((CAPEX!$D$55/24)/1000)</f>
        <v>349.68141361212793</v>
      </c>
      <c r="AB13" s="243">
        <f>((CAPEX!$D$54/24)/1000)+((CAPEX!$D$57/24)/1000)+((CAPEX!$D$55/24)/1000)</f>
        <v>349.68141361212793</v>
      </c>
      <c r="AC13" s="243">
        <f>((CAPEX!$D$54/24)/1000)+((CAPEX!$D$57/24)/1000)+((CAPEX!$D$55/24)/1000)</f>
        <v>349.68141361212793</v>
      </c>
      <c r="AD13" s="243">
        <f>((CAPEX!$D$54/24)/1000)+((CAPEX!$D$57/24)/1000)+((CAPEX!$D$55/24)/1000)</f>
        <v>349.68141361212793</v>
      </c>
      <c r="AE13" s="243">
        <f>((CAPEX!$D$54/24)/1000)+((CAPEX!$D$57/24)/1000)+((CAPEX!$D$55/24)/1000)</f>
        <v>349.68141361212793</v>
      </c>
      <c r="AF13" s="243">
        <f>((CAPEX!$D$54/24)/1000)+((CAPEX!$D$57/24)/1000)+((CAPEX!$D$55/24)/1000)</f>
        <v>349.68141361212793</v>
      </c>
      <c r="AG13" s="243">
        <f>((CAPEX!$D$54/24)/1000)+((CAPEX!$D$57/24)/1000)+((CAPEX!$D$55/24)/1000)</f>
        <v>349.68141361212793</v>
      </c>
      <c r="AH13" s="243">
        <f>((CAPEX!$D$54/24)/1000)+((CAPEX!$D$57/24)/1000)+((CAPEX!$D$55/24)/1000)</f>
        <v>349.68141361212793</v>
      </c>
      <c r="AI13" s="243">
        <f>((CAPEX!$D$54/24)/1000)+((CAPEX!$D$57/24)/1000)+((CAPEX!$D$55/24)/1000)</f>
        <v>349.68141361212793</v>
      </c>
    </row>
    <row r="14" spans="1:40" customFormat="1" ht="16.5" customHeight="1" x14ac:dyDescent="0.25">
      <c r="D14" s="7"/>
      <c r="E14" s="269"/>
    </row>
    <row r="15" spans="1:40" customFormat="1" ht="16.5" customHeight="1" x14ac:dyDescent="0.25">
      <c r="D15" s="7"/>
      <c r="E15" s="7"/>
      <c r="F15" s="7"/>
    </row>
    <row r="16" spans="1:40" ht="16.5" customHeight="1" x14ac:dyDescent="0.25">
      <c r="A16" s="247"/>
      <c r="B16"/>
      <c r="C16"/>
      <c r="D16"/>
      <c r="E16" s="270"/>
      <c r="G16"/>
    </row>
    <row r="17" spans="1:8" ht="16.5" customHeight="1" x14ac:dyDescent="0.25">
      <c r="A17" s="247"/>
      <c r="B17"/>
      <c r="C17"/>
      <c r="D17"/>
      <c r="G17"/>
    </row>
    <row r="18" spans="1:8" ht="16.5" customHeight="1" x14ac:dyDescent="0.25">
      <c r="A18" s="247"/>
      <c r="B18"/>
      <c r="C18"/>
      <c r="D18"/>
      <c r="E18" s="7"/>
      <c r="G18"/>
    </row>
    <row r="19" spans="1:8" ht="16.5" customHeight="1" x14ac:dyDescent="0.25">
      <c r="C19"/>
      <c r="D19"/>
      <c r="G19"/>
    </row>
    <row r="20" spans="1:8" ht="16.5" customHeight="1" x14ac:dyDescent="0.25">
      <c r="A20" s="247"/>
      <c r="B20"/>
      <c r="C20"/>
      <c r="D20"/>
    </row>
    <row r="21" spans="1:8" ht="16.5" customHeight="1" x14ac:dyDescent="0.25">
      <c r="A21" s="247"/>
      <c r="B21"/>
      <c r="C21"/>
    </row>
    <row r="22" spans="1:8" ht="16.5" customHeight="1" x14ac:dyDescent="0.25">
      <c r="A22" s="247"/>
      <c r="B22"/>
      <c r="C22"/>
    </row>
    <row r="23" spans="1:8" ht="16.5" customHeight="1" x14ac:dyDescent="0.25">
      <c r="A23" s="247"/>
      <c r="B23"/>
      <c r="C23"/>
    </row>
    <row r="25" spans="1:8" ht="16.5" customHeight="1" x14ac:dyDescent="0.25">
      <c r="A25" s="247"/>
    </row>
    <row r="26" spans="1:8" ht="16.5" customHeight="1" x14ac:dyDescent="0.25">
      <c r="A26" s="247"/>
      <c r="E26" s="247"/>
    </row>
    <row r="28" spans="1:8" ht="16.5" customHeight="1" x14ac:dyDescent="0.25">
      <c r="A28" s="247"/>
      <c r="E28" s="247"/>
    </row>
    <row r="29" spans="1:8" ht="16.5" customHeight="1" x14ac:dyDescent="0.25">
      <c r="H29" s="271"/>
    </row>
    <row r="31" spans="1:8" ht="16.5" customHeight="1" x14ac:dyDescent="0.25">
      <c r="H31" s="271"/>
    </row>
  </sheetData>
  <mergeCells count="1">
    <mergeCell ref="B5:C5"/>
  </mergeCells>
  <phoneticPr fontId="13" type="noConversion"/>
  <dataValidations disablePrompts="1" count="2">
    <dataValidation type="list" allowBlank="1" showInputMessage="1" showErrorMessage="1" sqref="C14:C15" xr:uid="{AFE2DB8E-5535-4ACD-BF7A-707BDDA1C5F4}">
      <formula1>"0,1"</formula1>
    </dataValidation>
    <dataValidation type="list" allowBlank="1" showInputMessage="1" showErrorMessage="1" sqref="D14:D15 E15:F15 E18" xr:uid="{3D43E5D0-D835-4792-A17C-5EF23F12290F}">
      <formula1>"Sim,Não"</formula1>
    </dataValidation>
  </dataValidations>
  <printOptions horizontalCentered="1"/>
  <pageMargins left="0.78740157480314965" right="0.39370078740157483" top="0.78740157480314965" bottom="0.39370078740157483" header="0.51181102362204722" footer="0.51181102362204722"/>
  <pageSetup paperSize="262" scale="70" orientation="portrait" cellComments="asDisplayed" horizontalDpi="4294967293" verticalDpi="4294967293"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793" r:id="rId4" name="Button 1">
              <controlPr defaultSize="0" print="0" autoFill="0" autoPict="0">
                <anchor moveWithCells="1" sizeWithCells="1">
                  <from>
                    <xdr:col>8</xdr:col>
                    <xdr:colOff>0</xdr:colOff>
                    <xdr:row>0</xdr:row>
                    <xdr:rowOff>0</xdr:rowOff>
                  </from>
                  <to>
                    <xdr:col>9</xdr:col>
                    <xdr:colOff>742950</xdr:colOff>
                    <xdr:row>0</xdr:row>
                    <xdr:rowOff>0</xdr:rowOff>
                  </to>
                </anchor>
              </controlPr>
            </control>
          </mc:Choice>
        </mc:AlternateContent>
        <mc:AlternateContent xmlns:mc="http://schemas.openxmlformats.org/markup-compatibility/2006">
          <mc:Choice Requires="x14">
            <control shapeId="33794" r:id="rId5" name="Button 2">
              <controlPr defaultSize="0" print="0" autoFill="0" autoPict="0">
                <anchor moveWithCells="1" sizeWithCells="1">
                  <from>
                    <xdr:col>13</xdr:col>
                    <xdr:colOff>0</xdr:colOff>
                    <xdr:row>0</xdr:row>
                    <xdr:rowOff>0</xdr:rowOff>
                  </from>
                  <to>
                    <xdr:col>14</xdr:col>
                    <xdr:colOff>742950</xdr:colOff>
                    <xdr:row>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73DD02-91AC-4467-BACD-AF511344F31C}">
  <dimension ref="A1:XFD74"/>
  <sheetViews>
    <sheetView topLeftCell="A46" workbookViewId="0">
      <selection activeCell="C57" sqref="C57"/>
    </sheetView>
  </sheetViews>
  <sheetFormatPr defaultColWidth="14.42578125" defaultRowHeight="12" x14ac:dyDescent="0.2"/>
  <cols>
    <col min="1" max="1" width="7.140625" style="8" customWidth="1"/>
    <col min="2" max="2" width="41.7109375" style="8" customWidth="1"/>
    <col min="3" max="3" width="56.28515625" style="8" customWidth="1"/>
    <col min="4" max="4" width="14.85546875" style="8" bestFit="1" customWidth="1"/>
    <col min="5" max="5" width="42" style="8" customWidth="1"/>
    <col min="6" max="6" width="14.5703125" style="8" customWidth="1"/>
    <col min="7" max="7" width="16" style="8" bestFit="1" customWidth="1"/>
    <col min="8" max="8" width="14.5703125" style="8" customWidth="1"/>
    <col min="9" max="16384" width="14.42578125" style="8"/>
  </cols>
  <sheetData>
    <row r="1" spans="1:5" x14ac:dyDescent="0.2">
      <c r="A1" s="334" t="s">
        <v>785</v>
      </c>
      <c r="B1" s="334"/>
      <c r="C1" s="334"/>
      <c r="D1" s="334"/>
      <c r="E1" s="334"/>
    </row>
    <row r="2" spans="1:5" x14ac:dyDescent="0.2">
      <c r="A2" s="334"/>
      <c r="B2" s="334"/>
      <c r="C2" s="334"/>
      <c r="D2" s="334"/>
      <c r="E2" s="334"/>
    </row>
    <row r="3" spans="1:5" s="9" customFormat="1" ht="15" customHeight="1" x14ac:dyDescent="0.2">
      <c r="A3" s="289" t="s">
        <v>28</v>
      </c>
      <c r="B3" s="290" t="s">
        <v>29</v>
      </c>
      <c r="C3" s="289" t="s">
        <v>30</v>
      </c>
      <c r="D3" s="289" t="s">
        <v>31</v>
      </c>
      <c r="E3" s="289" t="s">
        <v>32</v>
      </c>
    </row>
    <row r="4" spans="1:5" x14ac:dyDescent="0.2">
      <c r="A4" s="14">
        <v>1</v>
      </c>
      <c r="B4" s="335" t="s">
        <v>786</v>
      </c>
      <c r="C4" s="335"/>
      <c r="D4" s="335"/>
      <c r="E4" s="335"/>
    </row>
    <row r="5" spans="1:5" ht="72" x14ac:dyDescent="0.2">
      <c r="A5" s="15" t="s">
        <v>34</v>
      </c>
      <c r="B5" s="16" t="s">
        <v>787</v>
      </c>
      <c r="C5" s="11" t="s">
        <v>788</v>
      </c>
      <c r="D5" s="17">
        <f>INDEX('MEMO CAPEX_1'!$H$3:$H$999,MATCH(A5,'MEMO CAPEX_1'!$A$3:$A$999,0))</f>
        <v>488604.76</v>
      </c>
      <c r="E5" s="18" t="s">
        <v>824</v>
      </c>
    </row>
    <row r="6" spans="1:5" ht="48" x14ac:dyDescent="0.2">
      <c r="A6" s="15" t="s">
        <v>35</v>
      </c>
      <c r="B6" s="10" t="s">
        <v>792</v>
      </c>
      <c r="C6" s="11" t="s">
        <v>793</v>
      </c>
      <c r="D6" s="17">
        <f>INDEX('MEMO CAPEX_1'!$H$3:$H$999,MATCH(A6,'MEMO CAPEX_1'!$A$3:$A$999,0))</f>
        <v>114853.4</v>
      </c>
      <c r="E6" s="291" t="s">
        <v>953</v>
      </c>
    </row>
    <row r="7" spans="1:5" ht="48" x14ac:dyDescent="0.2">
      <c r="A7" s="15" t="s">
        <v>789</v>
      </c>
      <c r="B7" s="13" t="s">
        <v>42</v>
      </c>
      <c r="C7" s="20" t="s">
        <v>43</v>
      </c>
      <c r="D7" s="17">
        <f>INDEX('MEMO CAPEX_1'!$H$3:$H$999,MATCH(A7,'MEMO CAPEX_1'!$A$3:$A$999,0))</f>
        <v>82866.559999999998</v>
      </c>
      <c r="E7" s="20" t="s">
        <v>954</v>
      </c>
    </row>
    <row r="8" spans="1:5" ht="36" x14ac:dyDescent="0.2">
      <c r="A8" s="15" t="s">
        <v>790</v>
      </c>
      <c r="B8" s="21" t="s">
        <v>812</v>
      </c>
      <c r="C8" s="20" t="s">
        <v>813</v>
      </c>
      <c r="D8" s="17">
        <f>INDEX('MEMO CAPEX_1'!$H$3:$H$999,MATCH(A8,'MEMO CAPEX_1'!$A$3:$A$999,0))</f>
        <v>56790.239999999998</v>
      </c>
      <c r="E8" s="20" t="s">
        <v>823</v>
      </c>
    </row>
    <row r="9" spans="1:5" ht="36" x14ac:dyDescent="0.2">
      <c r="A9" s="15" t="s">
        <v>791</v>
      </c>
      <c r="B9" s="21" t="s">
        <v>814</v>
      </c>
      <c r="C9" s="20" t="s">
        <v>815</v>
      </c>
      <c r="D9" s="17">
        <f>INDEX('MEMO CAPEX_1'!$H$3:$H$999,MATCH(A9,'MEMO CAPEX_1'!$A$3:$A$999,0))</f>
        <v>22320.16</v>
      </c>
      <c r="E9" s="20" t="s">
        <v>823</v>
      </c>
    </row>
    <row r="10" spans="1:5" ht="36" x14ac:dyDescent="0.2">
      <c r="A10" s="15" t="s">
        <v>794</v>
      </c>
      <c r="B10" s="21" t="s">
        <v>816</v>
      </c>
      <c r="C10" s="20" t="s">
        <v>813</v>
      </c>
      <c r="D10" s="17">
        <f>INDEX('MEMO CAPEX_1'!$H$3:$H$999,MATCH(A10,'MEMO CAPEX_1'!$A$3:$A$999,0))</f>
        <v>52906.80999999999</v>
      </c>
      <c r="E10" s="20" t="s">
        <v>823</v>
      </c>
    </row>
    <row r="11" spans="1:5" ht="48" x14ac:dyDescent="0.2">
      <c r="A11" s="15" t="s">
        <v>819</v>
      </c>
      <c r="B11" s="21" t="s">
        <v>817</v>
      </c>
      <c r="C11" s="22" t="s">
        <v>818</v>
      </c>
      <c r="D11" s="17">
        <f>INDEX('MEMO CAPEX_1'!$H$3:$H$999,MATCH(A11,'MEMO CAPEX_1'!$A$3:$A$999,0))</f>
        <v>74987.12</v>
      </c>
      <c r="E11" s="20" t="s">
        <v>823</v>
      </c>
    </row>
    <row r="12" spans="1:5" ht="156" x14ac:dyDescent="0.2">
      <c r="A12" s="15" t="s">
        <v>820</v>
      </c>
      <c r="B12" s="21" t="s">
        <v>44</v>
      </c>
      <c r="C12" s="22" t="s">
        <v>45</v>
      </c>
      <c r="D12" s="17">
        <f>INDEX('MEMO CAPEX_1'!$H$3:$H$999,MATCH(A12,'MEMO CAPEX_1'!$A$3:$A$999,0))</f>
        <v>208467.15999999997</v>
      </c>
      <c r="E12" s="294" t="s">
        <v>795</v>
      </c>
    </row>
    <row r="13" spans="1:5" ht="48" x14ac:dyDescent="0.2">
      <c r="A13" s="15" t="s">
        <v>821</v>
      </c>
      <c r="B13" s="21" t="s">
        <v>796</v>
      </c>
      <c r="C13" s="22" t="s">
        <v>46</v>
      </c>
      <c r="D13" s="17">
        <f>INDEX('MEMO CAPEX_1'!$H$3:$H$999,MATCH(A13,'MEMO CAPEX_1'!$A$3:$A$999,0))</f>
        <v>1214295.9099999999</v>
      </c>
      <c r="E13" s="291" t="s">
        <v>941</v>
      </c>
    </row>
    <row r="14" spans="1:5" ht="36" x14ac:dyDescent="0.2">
      <c r="A14" s="15" t="s">
        <v>822</v>
      </c>
      <c r="B14" s="21" t="s">
        <v>797</v>
      </c>
      <c r="C14" s="23" t="s">
        <v>47</v>
      </c>
      <c r="D14" s="17">
        <f>INDEX('MEMO CAPEX_1'!$H$3:$H$999,MATCH(A14,'MEMO CAPEX_1'!$A$3:$A$999,0))</f>
        <v>317515</v>
      </c>
      <c r="E14" s="291" t="s">
        <v>36</v>
      </c>
    </row>
    <row r="15" spans="1:5" x14ac:dyDescent="0.2">
      <c r="A15" s="336" t="s">
        <v>798</v>
      </c>
      <c r="B15" s="337"/>
      <c r="C15" s="338"/>
      <c r="D15" s="292">
        <f>SUM(D5:D14)</f>
        <v>2633607.12</v>
      </c>
      <c r="E15" s="19"/>
    </row>
    <row r="16" spans="1:5" s="25" customFormat="1" x14ac:dyDescent="0.25">
      <c r="A16" s="24" t="s">
        <v>38</v>
      </c>
      <c r="B16" s="333" t="s">
        <v>799</v>
      </c>
      <c r="C16" s="333"/>
      <c r="D16" s="333"/>
      <c r="E16" s="333"/>
    </row>
    <row r="17" spans="1:8 16384:16384" s="25" customFormat="1" ht="84" x14ac:dyDescent="0.25">
      <c r="A17" s="12" t="s">
        <v>39</v>
      </c>
      <c r="B17" s="26" t="s">
        <v>54</v>
      </c>
      <c r="C17" s="27" t="s">
        <v>800</v>
      </c>
      <c r="D17" s="28">
        <f>'MEMO CAPEX_2'!$D$6</f>
        <v>122867.43997664707</v>
      </c>
      <c r="E17" s="20" t="s">
        <v>952</v>
      </c>
    </row>
    <row r="18" spans="1:8 16384:16384" s="25" customFormat="1" x14ac:dyDescent="0.25">
      <c r="A18" s="332" t="s">
        <v>51</v>
      </c>
      <c r="B18" s="332"/>
      <c r="C18" s="332"/>
      <c r="D18" s="29">
        <f>SUM(D17:D17)</f>
        <v>122867.43997664707</v>
      </c>
      <c r="E18" s="30"/>
    </row>
    <row r="19" spans="1:8 16384:16384" s="25" customFormat="1" x14ac:dyDescent="0.25">
      <c r="A19" s="24" t="s">
        <v>52</v>
      </c>
      <c r="B19" s="333" t="s">
        <v>801</v>
      </c>
      <c r="C19" s="333"/>
      <c r="D19" s="333"/>
      <c r="E19" s="333"/>
    </row>
    <row r="20" spans="1:8 16384:16384" ht="72" x14ac:dyDescent="0.2">
      <c r="A20" s="12" t="s">
        <v>53</v>
      </c>
      <c r="B20" s="26" t="s">
        <v>802</v>
      </c>
      <c r="C20" s="27" t="s">
        <v>803</v>
      </c>
      <c r="D20" s="28">
        <f>'MEMO CAPEX_3'!$E$15</f>
        <v>166068.49402723456</v>
      </c>
      <c r="E20" s="20" t="s">
        <v>958</v>
      </c>
    </row>
    <row r="21" spans="1:8 16384:16384" s="25" customFormat="1" x14ac:dyDescent="0.25">
      <c r="A21" s="332" t="s">
        <v>55</v>
      </c>
      <c r="B21" s="332"/>
      <c r="C21" s="332"/>
      <c r="D21" s="29">
        <f>SUM(D20:D20)</f>
        <v>166068.49402723456</v>
      </c>
      <c r="E21" s="30"/>
    </row>
    <row r="22" spans="1:8 16384:16384" s="25" customFormat="1" x14ac:dyDescent="0.25">
      <c r="A22" s="24" t="s">
        <v>56</v>
      </c>
      <c r="B22" s="333" t="s">
        <v>804</v>
      </c>
      <c r="C22" s="333"/>
      <c r="D22" s="333"/>
      <c r="E22" s="333"/>
    </row>
    <row r="23" spans="1:8 16384:16384" ht="48" x14ac:dyDescent="0.2">
      <c r="A23" s="12" t="s">
        <v>825</v>
      </c>
      <c r="B23" s="26" t="s">
        <v>805</v>
      </c>
      <c r="C23" s="27" t="s">
        <v>58</v>
      </c>
      <c r="D23" s="28" t="s">
        <v>959</v>
      </c>
      <c r="E23" s="20" t="s">
        <v>990</v>
      </c>
    </row>
    <row r="24" spans="1:8 16384:16384" s="25" customFormat="1" x14ac:dyDescent="0.25">
      <c r="A24" s="332" t="s">
        <v>827</v>
      </c>
      <c r="B24" s="332"/>
      <c r="C24" s="332"/>
      <c r="D24" s="29">
        <f>SUM(D23:D23)</f>
        <v>0</v>
      </c>
      <c r="E24" s="30"/>
    </row>
    <row r="25" spans="1:8 16384:16384" s="25" customFormat="1" x14ac:dyDescent="0.25">
      <c r="A25" s="24" t="s">
        <v>57</v>
      </c>
      <c r="B25" s="333" t="s">
        <v>806</v>
      </c>
      <c r="C25" s="333"/>
      <c r="D25" s="333"/>
      <c r="E25" s="333"/>
    </row>
    <row r="26" spans="1:8 16384:16384" ht="36" x14ac:dyDescent="0.2">
      <c r="A26" s="12" t="s">
        <v>6</v>
      </c>
      <c r="B26" s="26" t="s">
        <v>987</v>
      </c>
      <c r="C26" s="27" t="s">
        <v>989</v>
      </c>
      <c r="D26" s="296">
        <f>'MEMO CAPEX_5'!$H$6+'MEMO CAPEX_5'!$H$7</f>
        <v>234152525.44561663</v>
      </c>
      <c r="E26" s="27" t="s">
        <v>988</v>
      </c>
    </row>
    <row r="27" spans="1:8 16384:16384" ht="36" x14ac:dyDescent="0.2">
      <c r="A27" s="12" t="s">
        <v>8</v>
      </c>
      <c r="B27" s="26" t="s">
        <v>984</v>
      </c>
      <c r="C27" s="27" t="s">
        <v>989</v>
      </c>
      <c r="D27" s="293">
        <f>'MEMO CAPEX_5'!$H$8+'MEMO CAPEX_5'!$H$9</f>
        <v>28655492.474229485</v>
      </c>
      <c r="E27" s="27" t="s">
        <v>985</v>
      </c>
      <c r="G27" s="33"/>
    </row>
    <row r="28" spans="1:8 16384:16384" ht="72" x14ac:dyDescent="0.2">
      <c r="A28" s="12" t="s">
        <v>826</v>
      </c>
      <c r="B28" s="26" t="s">
        <v>986</v>
      </c>
      <c r="C28" s="27" t="s">
        <v>991</v>
      </c>
      <c r="D28" s="296">
        <f>'MEMO CAPEX_5'!$I$14+'MEMO CAPEX_5'!$I$15</f>
        <v>15255000</v>
      </c>
      <c r="E28" s="27" t="s">
        <v>994</v>
      </c>
      <c r="G28" s="33"/>
    </row>
    <row r="29" spans="1:8 16384:16384" s="25" customFormat="1" x14ac:dyDescent="0.25">
      <c r="A29" s="332" t="s">
        <v>59</v>
      </c>
      <c r="B29" s="332"/>
      <c r="C29" s="332"/>
      <c r="D29" s="29">
        <f>SUM(D26:D28)</f>
        <v>278063017.91984612</v>
      </c>
      <c r="E29" s="30"/>
      <c r="XFD29" s="295">
        <f>SUM(D29:XFC29)</f>
        <v>278063017.91984612</v>
      </c>
    </row>
    <row r="30" spans="1:8 16384:16384" s="25" customFormat="1" x14ac:dyDescent="0.25">
      <c r="A30" s="24" t="s">
        <v>60</v>
      </c>
      <c r="B30" s="333" t="s">
        <v>807</v>
      </c>
      <c r="C30" s="333"/>
      <c r="D30" s="333"/>
      <c r="E30" s="333"/>
    </row>
    <row r="31" spans="1:8 16384:16384" ht="60" x14ac:dyDescent="0.2">
      <c r="A31" s="15" t="s">
        <v>14</v>
      </c>
      <c r="B31" s="31" t="s">
        <v>995</v>
      </c>
      <c r="C31" s="20" t="s">
        <v>887</v>
      </c>
      <c r="D31" s="28">
        <f>INDEX('MEMO CAPEX_6'!$H$3:$H$977,MATCH(A31,'MEMO CAPEX_6'!$A$3:$A$977,0))</f>
        <v>207045.40000000002</v>
      </c>
      <c r="E31" s="20" t="s">
        <v>36</v>
      </c>
      <c r="H31" s="33"/>
    </row>
    <row r="32" spans="1:8 16384:16384" ht="36" x14ac:dyDescent="0.2">
      <c r="A32" s="15" t="s">
        <v>15</v>
      </c>
      <c r="B32" s="31" t="s">
        <v>996</v>
      </c>
      <c r="C32" s="20" t="s">
        <v>64</v>
      </c>
      <c r="D32" s="28">
        <f>INDEX('MEMO CAPEX_6'!$H$3:$H$977,MATCH(A32,'MEMO CAPEX_6'!$A$3:$A$977,0))</f>
        <v>7354083.8400000008</v>
      </c>
      <c r="E32" s="20" t="s">
        <v>36</v>
      </c>
    </row>
    <row r="33" spans="1:5" ht="120" x14ac:dyDescent="0.2">
      <c r="A33" s="15" t="s">
        <v>17</v>
      </c>
      <c r="B33" s="31" t="s">
        <v>997</v>
      </c>
      <c r="C33" s="20" t="s">
        <v>65</v>
      </c>
      <c r="D33" s="28" t="s">
        <v>959</v>
      </c>
      <c r="E33" s="20" t="s">
        <v>906</v>
      </c>
    </row>
    <row r="34" spans="1:5" ht="36" x14ac:dyDescent="0.2">
      <c r="A34" s="15" t="s">
        <v>19</v>
      </c>
      <c r="B34" s="31" t="s">
        <v>1007</v>
      </c>
      <c r="C34" s="20" t="s">
        <v>75</v>
      </c>
      <c r="D34" s="28">
        <f>INDEX('MEMO CAPEX_6'!$H$3:$H$977,MATCH(A34,'MEMO CAPEX_6'!$A$3:$A$977,0))</f>
        <v>147746.88</v>
      </c>
      <c r="E34" s="20" t="s">
        <v>36</v>
      </c>
    </row>
    <row r="35" spans="1:5" ht="48" x14ac:dyDescent="0.2">
      <c r="A35" s="15" t="s">
        <v>21</v>
      </c>
      <c r="B35" s="31" t="s">
        <v>1006</v>
      </c>
      <c r="C35" s="20" t="s">
        <v>70</v>
      </c>
      <c r="D35" s="28">
        <f>INDEX('MEMO CAPEX_6'!$H$3:$H$977,MATCH(A35,'MEMO CAPEX_6'!$A$3:$A$977,0))</f>
        <v>343402.8</v>
      </c>
      <c r="E35" s="20" t="s">
        <v>36</v>
      </c>
    </row>
    <row r="36" spans="1:5" ht="36" x14ac:dyDescent="0.2">
      <c r="A36" s="15" t="s">
        <v>22</v>
      </c>
      <c r="B36" s="31" t="s">
        <v>998</v>
      </c>
      <c r="C36" s="20" t="s">
        <v>66</v>
      </c>
      <c r="D36" s="28">
        <f>INDEX('MEMO CAPEX_6'!$H$3:$H$977,MATCH(A36,'MEMO CAPEX_6'!$A$3:$A$977,0))</f>
        <v>171679.44</v>
      </c>
      <c r="E36" s="20" t="s">
        <v>36</v>
      </c>
    </row>
    <row r="37" spans="1:5" ht="36" x14ac:dyDescent="0.2">
      <c r="A37" s="15" t="s">
        <v>24</v>
      </c>
      <c r="B37" s="31" t="s">
        <v>1008</v>
      </c>
      <c r="C37" s="20" t="s">
        <v>907</v>
      </c>
      <c r="D37" s="28">
        <f>INDEX('MEMO CAPEX_6'!$H$3:$H$977,MATCH(A37,'MEMO CAPEX_6'!$A$3:$A$977,0))</f>
        <v>391404.16000000003</v>
      </c>
      <c r="E37" s="20" t="s">
        <v>36</v>
      </c>
    </row>
    <row r="38" spans="1:5" ht="36" x14ac:dyDescent="0.2">
      <c r="A38" s="15" t="s">
        <v>26</v>
      </c>
      <c r="B38" s="31" t="s">
        <v>1012</v>
      </c>
      <c r="C38" s="20" t="s">
        <v>1005</v>
      </c>
      <c r="D38" s="28">
        <f>INDEX('MEMO CAPEX_6'!$H$3:$H$977,MATCH(A38,'MEMO CAPEX_6'!$A$3:$A$977,0))</f>
        <v>852806.76</v>
      </c>
      <c r="E38" s="20" t="s">
        <v>36</v>
      </c>
    </row>
    <row r="39" spans="1:5" ht="36" x14ac:dyDescent="0.2">
      <c r="A39" s="15" t="s">
        <v>896</v>
      </c>
      <c r="B39" s="31" t="s">
        <v>1009</v>
      </c>
      <c r="C39" s="20" t="s">
        <v>895</v>
      </c>
      <c r="D39" s="28">
        <f>INDEX('MEMO CAPEX_6'!$H$3:$H$977,MATCH(A39,'MEMO CAPEX_6'!$A$3:$A$977,0))</f>
        <v>1180477.4400000002</v>
      </c>
      <c r="E39" s="20" t="s">
        <v>36</v>
      </c>
    </row>
    <row r="40" spans="1:5" ht="108" x14ac:dyDescent="0.2">
      <c r="A40" s="15" t="s">
        <v>897</v>
      </c>
      <c r="B40" s="31" t="s">
        <v>1036</v>
      </c>
      <c r="C40" s="20" t="s">
        <v>67</v>
      </c>
      <c r="D40" s="28">
        <f>INDEX('MEMO CAPEX_6'!$H$3:$H$977,MATCH(A40,'MEMO CAPEX_6'!$A$3:$A$977,0))</f>
        <v>271814.16000000003</v>
      </c>
      <c r="E40" s="20" t="s">
        <v>68</v>
      </c>
    </row>
    <row r="41" spans="1:5" ht="36" x14ac:dyDescent="0.2">
      <c r="A41" s="15" t="s">
        <v>898</v>
      </c>
      <c r="B41" s="31" t="s">
        <v>999</v>
      </c>
      <c r="C41" s="20" t="s">
        <v>908</v>
      </c>
      <c r="D41" s="28" t="s">
        <v>959</v>
      </c>
      <c r="E41" s="20" t="s">
        <v>909</v>
      </c>
    </row>
    <row r="42" spans="1:5" ht="36" x14ac:dyDescent="0.2">
      <c r="A42" s="15" t="s">
        <v>899</v>
      </c>
      <c r="B42" s="31" t="s">
        <v>73</v>
      </c>
      <c r="C42" s="20" t="s">
        <v>74</v>
      </c>
      <c r="D42" s="28">
        <f>INDEX('MEMO CAPEX_6'!$H$3:$H$977,MATCH(A42,'MEMO CAPEX_6'!$A$3:$A$977,0))</f>
        <v>1035138.48</v>
      </c>
      <c r="E42" s="20" t="s">
        <v>36</v>
      </c>
    </row>
    <row r="43" spans="1:5" ht="36" x14ac:dyDescent="0.2">
      <c r="A43" s="15" t="s">
        <v>900</v>
      </c>
      <c r="B43" s="31" t="s">
        <v>1010</v>
      </c>
      <c r="C43" s="20" t="s">
        <v>71</v>
      </c>
      <c r="D43" s="28">
        <f>INDEX('MEMO CAPEX_6'!$H$3:$H$977,MATCH(A43,'MEMO CAPEX_6'!$A$3:$A$977,0))</f>
        <v>131885.40000000002</v>
      </c>
      <c r="E43" s="20" t="s">
        <v>36</v>
      </c>
    </row>
    <row r="44" spans="1:5" ht="36" x14ac:dyDescent="0.2">
      <c r="A44" s="15" t="s">
        <v>901</v>
      </c>
      <c r="B44" s="31" t="s">
        <v>1000</v>
      </c>
      <c r="C44" s="20" t="s">
        <v>72</v>
      </c>
      <c r="D44" s="28">
        <f>INDEX('MEMO CAPEX_6'!$H$3:$H$977,MATCH(A44,'MEMO CAPEX_6'!$A$3:$A$977,0))</f>
        <v>473785.92</v>
      </c>
      <c r="E44" s="20" t="s">
        <v>910</v>
      </c>
    </row>
    <row r="45" spans="1:5" ht="84" x14ac:dyDescent="0.2">
      <c r="A45" s="15" t="s">
        <v>902</v>
      </c>
      <c r="B45" s="31" t="s">
        <v>1011</v>
      </c>
      <c r="C45" s="20" t="s">
        <v>1001</v>
      </c>
      <c r="D45" s="28">
        <f>INDEX('MEMO CAPEX_6'!$H$3:$H$977,MATCH(A45,'MEMO CAPEX_6'!$A$3:$A$977,0))</f>
        <v>1405260.96</v>
      </c>
      <c r="E45" s="20" t="s">
        <v>36</v>
      </c>
    </row>
    <row r="46" spans="1:5" ht="96" x14ac:dyDescent="0.2">
      <c r="A46" s="15" t="s">
        <v>903</v>
      </c>
      <c r="B46" s="31" t="s">
        <v>1002</v>
      </c>
      <c r="C46" s="20" t="s">
        <v>911</v>
      </c>
      <c r="D46" s="28">
        <f>INDEX('MEMO CAPEX_6'!$H$3:$H$977,MATCH(A46,'MEMO CAPEX_6'!$A$3:$A$977,0))</f>
        <v>281770.80000000005</v>
      </c>
      <c r="E46" s="20" t="s">
        <v>36</v>
      </c>
    </row>
    <row r="47" spans="1:5" ht="36" x14ac:dyDescent="0.2">
      <c r="A47" s="15" t="s">
        <v>904</v>
      </c>
      <c r="B47" s="31" t="s">
        <v>1003</v>
      </c>
      <c r="C47" s="20" t="s">
        <v>76</v>
      </c>
      <c r="D47" s="28">
        <f>INDEX('MEMO CAPEX_6'!$H$3:$H$977,MATCH(A47,'MEMO CAPEX_6'!$A$3:$A$977,0))</f>
        <v>2105203.2000000002</v>
      </c>
      <c r="E47" s="20" t="s">
        <v>1004</v>
      </c>
    </row>
    <row r="48" spans="1:5" ht="144" x14ac:dyDescent="0.2">
      <c r="A48" s="15" t="s">
        <v>905</v>
      </c>
      <c r="B48" s="31" t="s">
        <v>79</v>
      </c>
      <c r="C48" s="20" t="s">
        <v>80</v>
      </c>
      <c r="D48" s="28">
        <f>INDEX('MEMO CAPEX_6'!$H$3:$H$977,MATCH(A48,'MEMO CAPEX_6'!$A$3:$A$977,0))</f>
        <v>213568.08000000002</v>
      </c>
      <c r="E48" s="20" t="s">
        <v>81</v>
      </c>
    </row>
    <row r="49" spans="1:5" s="25" customFormat="1" x14ac:dyDescent="0.25">
      <c r="A49" s="332" t="s">
        <v>61</v>
      </c>
      <c r="B49" s="332"/>
      <c r="C49" s="332"/>
      <c r="D49" s="29">
        <f>SUM(D31:D48)</f>
        <v>16567073.720000001</v>
      </c>
      <c r="E49" s="30"/>
    </row>
    <row r="50" spans="1:5" s="25" customFormat="1" x14ac:dyDescent="0.25">
      <c r="A50" s="24" t="s">
        <v>62</v>
      </c>
      <c r="B50" s="333" t="s">
        <v>808</v>
      </c>
      <c r="C50" s="333"/>
      <c r="D50" s="333"/>
      <c r="E50" s="333"/>
    </row>
    <row r="51" spans="1:5" ht="36" x14ac:dyDescent="0.2">
      <c r="A51" s="12" t="s">
        <v>63</v>
      </c>
      <c r="B51" s="31" t="s">
        <v>83</v>
      </c>
      <c r="C51" s="27" t="s">
        <v>84</v>
      </c>
      <c r="D51" s="17">
        <f>INDEX('MEMO CAPEX_7'!$H$3:$H$1000,MATCH(A51,'MEMO CAPEX_7'!$A$3:$A$1000,0))</f>
        <v>3434735.96</v>
      </c>
      <c r="E51" s="27" t="s">
        <v>36</v>
      </c>
    </row>
    <row r="52" spans="1:5" ht="36" x14ac:dyDescent="0.2">
      <c r="A52" s="12" t="s">
        <v>77</v>
      </c>
      <c r="B52" s="31" t="s">
        <v>85</v>
      </c>
      <c r="C52" s="27" t="s">
        <v>86</v>
      </c>
      <c r="D52" s="17">
        <f>INDEX('MEMO CAPEX_7'!$H$3:$H$1000,MATCH(A52,'MEMO CAPEX_7'!$A$3:$A$1000,0))</f>
        <v>67833.119999999995</v>
      </c>
      <c r="E52" s="27" t="s">
        <v>36</v>
      </c>
    </row>
    <row r="53" spans="1:5" ht="24" x14ac:dyDescent="0.2">
      <c r="A53" s="12" t="s">
        <v>78</v>
      </c>
      <c r="B53" s="31" t="s">
        <v>87</v>
      </c>
      <c r="C53" s="27" t="s">
        <v>88</v>
      </c>
      <c r="D53" s="17">
        <f>INDEX('MEMO CAPEX_7'!$H$3:$H$1000,MATCH(A53,'MEMO CAPEX_7'!$A$3:$A$1000,0))</f>
        <v>183449.91999999998</v>
      </c>
      <c r="E53" s="27" t="s">
        <v>36</v>
      </c>
    </row>
    <row r="54" spans="1:5" ht="24" x14ac:dyDescent="0.2">
      <c r="A54" s="12" t="s">
        <v>1041</v>
      </c>
      <c r="B54" s="31" t="s">
        <v>89</v>
      </c>
      <c r="C54" s="27" t="s">
        <v>90</v>
      </c>
      <c r="D54" s="17">
        <f>INDEX('MEMO CAPEX_7'!$H$3:$H$1000,MATCH(A54,'MEMO CAPEX_7'!$A$3:$A$1000,0))</f>
        <v>1334901.0225</v>
      </c>
      <c r="E54" s="27" t="s">
        <v>91</v>
      </c>
    </row>
    <row r="55" spans="1:5" ht="38.25" x14ac:dyDescent="0.2">
      <c r="A55" s="12" t="s">
        <v>809</v>
      </c>
      <c r="B55" s="322" t="s">
        <v>1040</v>
      </c>
      <c r="C55" s="323" t="s">
        <v>1053</v>
      </c>
      <c r="D55" s="17">
        <f>INDEX('MEMO CAPEX_7'!$H$3:$H$1000,MATCH(A55,'MEMO CAPEX_7'!$A$3:$A$1000,0))</f>
        <v>1202997.8716910698</v>
      </c>
      <c r="E55" s="27" t="s">
        <v>36</v>
      </c>
    </row>
    <row r="56" spans="1:5" ht="36" x14ac:dyDescent="0.2">
      <c r="A56" s="12" t="s">
        <v>1039</v>
      </c>
      <c r="B56" s="31" t="s">
        <v>92</v>
      </c>
      <c r="C56" s="27" t="s">
        <v>93</v>
      </c>
      <c r="D56" s="17">
        <f>INDEX('MEMO CAPEX_7'!$H$3:$H$1000,MATCH(A56,'MEMO CAPEX_7'!$A$3:$A$1000,0))</f>
        <v>433933.55249999993</v>
      </c>
      <c r="E56" s="27" t="s">
        <v>36</v>
      </c>
    </row>
    <row r="57" spans="1:5" ht="36" x14ac:dyDescent="0.2">
      <c r="A57" s="12" t="s">
        <v>810</v>
      </c>
      <c r="B57" s="31" t="s">
        <v>94</v>
      </c>
      <c r="C57" s="27" t="s">
        <v>95</v>
      </c>
      <c r="D57" s="17">
        <f>INDEX('MEMO CAPEX_7'!$H$3:$H$1000,MATCH(A57,'MEMO CAPEX_7'!$A$3:$A$1000,0))</f>
        <v>5854455.0324999997</v>
      </c>
      <c r="E57" s="27" t="s">
        <v>96</v>
      </c>
    </row>
    <row r="58" spans="1:5" s="25" customFormat="1" x14ac:dyDescent="0.25">
      <c r="A58" s="332" t="s">
        <v>82</v>
      </c>
      <c r="B58" s="332"/>
      <c r="C58" s="332"/>
      <c r="D58" s="29">
        <f>SUM(D51:D57)</f>
        <v>12512306.479191069</v>
      </c>
      <c r="E58" s="30"/>
    </row>
    <row r="59" spans="1:5" s="25" customFormat="1" ht="12.75" customHeight="1" x14ac:dyDescent="0.25">
      <c r="A59" s="329" t="s">
        <v>97</v>
      </c>
      <c r="B59" s="330"/>
      <c r="C59" s="330"/>
      <c r="D59" s="331"/>
      <c r="E59" s="32">
        <f>D15+D18+D21+D24+D29+D49+D58</f>
        <v>310064941.17304111</v>
      </c>
    </row>
    <row r="73" spans="3:3" x14ac:dyDescent="0.2">
      <c r="C73" s="33"/>
    </row>
    <row r="74" spans="3:3" x14ac:dyDescent="0.2">
      <c r="C74" s="34"/>
    </row>
  </sheetData>
  <mergeCells count="16">
    <mergeCell ref="B19:E19"/>
    <mergeCell ref="B16:E16"/>
    <mergeCell ref="A18:C18"/>
    <mergeCell ref="A1:E2"/>
    <mergeCell ref="B4:E4"/>
    <mergeCell ref="A15:C15"/>
    <mergeCell ref="A59:D59"/>
    <mergeCell ref="A49:C49"/>
    <mergeCell ref="B50:E50"/>
    <mergeCell ref="A58:C58"/>
    <mergeCell ref="A21:C21"/>
    <mergeCell ref="B25:E25"/>
    <mergeCell ref="A29:C29"/>
    <mergeCell ref="B30:E30"/>
    <mergeCell ref="B22:E22"/>
    <mergeCell ref="A24:C24"/>
  </mergeCells>
  <phoneticPr fontId="13" type="noConversion"/>
  <pageMargins left="0.511811024" right="0.511811024" top="0.78740157499999996" bottom="0.78740157499999996" header="0.31496062000000002" footer="0.31496062000000002"/>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DFF752-79FC-46F6-A855-4C4B113B1F2C}">
  <dimension ref="A1:E20"/>
  <sheetViews>
    <sheetView zoomScaleNormal="100" workbookViewId="0">
      <selection activeCell="C12" sqref="C12"/>
    </sheetView>
  </sheetViews>
  <sheetFormatPr defaultColWidth="14.5703125" defaultRowHeight="12" x14ac:dyDescent="0.2"/>
  <cols>
    <col min="1" max="1" width="7.5703125" style="8" bestFit="1" customWidth="1"/>
    <col min="2" max="2" width="42.42578125" style="8" bestFit="1" customWidth="1"/>
    <col min="3" max="3" width="45.7109375" style="8" customWidth="1"/>
    <col min="4" max="4" width="15.140625" style="8" bestFit="1" customWidth="1"/>
    <col min="5" max="5" width="45.42578125" style="8" customWidth="1"/>
    <col min="6" max="16384" width="14.5703125" style="8"/>
  </cols>
  <sheetData>
    <row r="1" spans="1:5" ht="15.75" customHeight="1" x14ac:dyDescent="0.2">
      <c r="A1" s="334" t="s">
        <v>811</v>
      </c>
      <c r="B1" s="334"/>
      <c r="C1" s="334"/>
      <c r="D1" s="334"/>
      <c r="E1" s="334"/>
    </row>
    <row r="2" spans="1:5" ht="15" customHeight="1" x14ac:dyDescent="0.2">
      <c r="A2" s="334"/>
      <c r="B2" s="334"/>
      <c r="C2" s="334"/>
      <c r="D2" s="334"/>
      <c r="E2" s="334"/>
    </row>
    <row r="3" spans="1:5" x14ac:dyDescent="0.2">
      <c r="A3" s="49" t="s">
        <v>28</v>
      </c>
      <c r="B3" s="61" t="s">
        <v>29</v>
      </c>
      <c r="C3" s="49" t="s">
        <v>30</v>
      </c>
      <c r="D3" s="49" t="s">
        <v>31</v>
      </c>
      <c r="E3" s="49" t="s">
        <v>32</v>
      </c>
    </row>
    <row r="4" spans="1:5" x14ac:dyDescent="0.2">
      <c r="A4" s="24" t="s">
        <v>33</v>
      </c>
      <c r="B4" s="345" t="s">
        <v>98</v>
      </c>
      <c r="C4" s="345"/>
      <c r="D4" s="345"/>
      <c r="E4" s="346"/>
    </row>
    <row r="5" spans="1:5" ht="48" x14ac:dyDescent="0.2">
      <c r="A5" s="60" t="s">
        <v>34</v>
      </c>
      <c r="B5" s="55" t="s">
        <v>1042</v>
      </c>
      <c r="C5" s="55" t="s">
        <v>912</v>
      </c>
      <c r="D5" s="51">
        <f>INDEX(MEMO_OPEX!H4:H907,MATCH(A5,MEMO_OPEX!A4:A907,0))</f>
        <v>3592099.3608000004</v>
      </c>
      <c r="E5" s="27" t="s">
        <v>1054</v>
      </c>
    </row>
    <row r="6" spans="1:5" x14ac:dyDescent="0.2">
      <c r="A6" s="332" t="s">
        <v>37</v>
      </c>
      <c r="B6" s="332"/>
      <c r="C6" s="332"/>
      <c r="D6" s="52">
        <f>SUM(D5:D5)</f>
        <v>3592099.3608000004</v>
      </c>
      <c r="E6" s="53"/>
    </row>
    <row r="7" spans="1:5" x14ac:dyDescent="0.2">
      <c r="A7" s="59" t="s">
        <v>38</v>
      </c>
      <c r="B7" s="345" t="s">
        <v>915</v>
      </c>
      <c r="C7" s="345"/>
      <c r="D7" s="345"/>
      <c r="E7" s="346"/>
    </row>
    <row r="8" spans="1:5" ht="96" x14ac:dyDescent="0.2">
      <c r="A8" s="50" t="s">
        <v>39</v>
      </c>
      <c r="B8" s="27" t="s">
        <v>99</v>
      </c>
      <c r="C8" s="27" t="s">
        <v>1043</v>
      </c>
      <c r="D8" s="51">
        <f>INDEX(MEMO_OPEX!H8:H911,MATCH(A8,MEMO_OPEX!A8:A911,0))</f>
        <v>7161824.6496000001</v>
      </c>
      <c r="E8" s="27" t="s">
        <v>1044</v>
      </c>
    </row>
    <row r="9" spans="1:5" ht="24" x14ac:dyDescent="0.2">
      <c r="A9" s="50" t="s">
        <v>40</v>
      </c>
      <c r="B9" s="27" t="s">
        <v>100</v>
      </c>
      <c r="C9" s="27" t="s">
        <v>1045</v>
      </c>
      <c r="D9" s="51">
        <f>INDEX(MEMO_OPEX!H9:H912,MATCH(A9,MEMO_OPEX!A9:A912,0))</f>
        <v>957109.76160000009</v>
      </c>
      <c r="E9" s="27" t="s">
        <v>36</v>
      </c>
    </row>
    <row r="10" spans="1:5" ht="36" x14ac:dyDescent="0.2">
      <c r="A10" s="50" t="s">
        <v>41</v>
      </c>
      <c r="B10" s="27" t="s">
        <v>101</v>
      </c>
      <c r="C10" s="27" t="s">
        <v>1046</v>
      </c>
      <c r="D10" s="51">
        <f>INDEX(MEMO_OPEX!H10:H913,MATCH(A10,MEMO_OPEX!A10:A913,0))</f>
        <v>354685.76160000003</v>
      </c>
      <c r="E10" s="27" t="s">
        <v>36</v>
      </c>
    </row>
    <row r="11" spans="1:5" ht="36" x14ac:dyDescent="0.2">
      <c r="A11" s="50" t="s">
        <v>48</v>
      </c>
      <c r="B11" s="27" t="s">
        <v>69</v>
      </c>
      <c r="C11" s="27" t="s">
        <v>913</v>
      </c>
      <c r="D11" s="51">
        <f>INDEX(MEMO_OPEX!H11:H914,MATCH(A11,MEMO_OPEX!A11:A914,0))</f>
        <v>2075642.4</v>
      </c>
      <c r="E11" s="27" t="s">
        <v>36</v>
      </c>
    </row>
    <row r="12" spans="1:5" ht="48" x14ac:dyDescent="0.2">
      <c r="A12" s="50" t="s">
        <v>49</v>
      </c>
      <c r="B12" s="27" t="s">
        <v>1049</v>
      </c>
      <c r="C12" s="27" t="s">
        <v>1050</v>
      </c>
      <c r="D12" s="51">
        <f>INDEX(MEMO_OPEX!H12:H915,MATCH(A12,MEMO_OPEX!A12:A915,0))</f>
        <v>1440000</v>
      </c>
      <c r="E12" s="27" t="s">
        <v>36</v>
      </c>
    </row>
    <row r="13" spans="1:5" ht="24" x14ac:dyDescent="0.2">
      <c r="A13" s="50" t="s">
        <v>50</v>
      </c>
      <c r="B13" s="27" t="s">
        <v>73</v>
      </c>
      <c r="C13" s="27" t="s">
        <v>102</v>
      </c>
      <c r="D13" s="51">
        <f>INDEX(MEMO_OPEX!H13:H916,MATCH(A13,MEMO_OPEX!A13:A916,0))</f>
        <v>1151853.4416</v>
      </c>
      <c r="E13" s="27" t="s">
        <v>36</v>
      </c>
    </row>
    <row r="14" spans="1:5" ht="14.25" customHeight="1" x14ac:dyDescent="0.2">
      <c r="A14" s="332" t="s">
        <v>51</v>
      </c>
      <c r="B14" s="332"/>
      <c r="C14" s="332"/>
      <c r="D14" s="54">
        <f>SUM(D8:D13)</f>
        <v>13141116.014400002</v>
      </c>
      <c r="E14" s="53"/>
    </row>
    <row r="15" spans="1:5" x14ac:dyDescent="0.2">
      <c r="A15" s="339" t="s">
        <v>1052</v>
      </c>
      <c r="B15" s="340"/>
      <c r="C15" s="340"/>
      <c r="D15" s="341"/>
      <c r="E15" s="56">
        <f>D6+D14</f>
        <v>16733215.375200002</v>
      </c>
    </row>
    <row r="16" spans="1:5" x14ac:dyDescent="0.2">
      <c r="A16" s="342" t="s">
        <v>103</v>
      </c>
      <c r="B16" s="343"/>
      <c r="C16" s="343"/>
      <c r="D16" s="344"/>
      <c r="E16" s="56">
        <f>E15/24</f>
        <v>697217.3073000001</v>
      </c>
    </row>
    <row r="17" spans="4:5" x14ac:dyDescent="0.2">
      <c r="E17" s="58"/>
    </row>
    <row r="18" spans="4:5" x14ac:dyDescent="0.2">
      <c r="D18" s="33"/>
    </row>
    <row r="19" spans="4:5" x14ac:dyDescent="0.2">
      <c r="D19" s="33"/>
    </row>
    <row r="20" spans="4:5" x14ac:dyDescent="0.2">
      <c r="D20" s="33"/>
    </row>
  </sheetData>
  <autoFilter ref="A3:E16" xr:uid="{75834858-227B-41F9-B4F1-B3EB0874923D}"/>
  <dataConsolidate/>
  <mergeCells count="7">
    <mergeCell ref="A15:D15"/>
    <mergeCell ref="A16:D16"/>
    <mergeCell ref="A1:E2"/>
    <mergeCell ref="B4:E4"/>
    <mergeCell ref="B7:E7"/>
    <mergeCell ref="A6:C6"/>
    <mergeCell ref="A14:C14"/>
  </mergeCells>
  <phoneticPr fontId="13" type="noConversion"/>
  <pageMargins left="0.511811024" right="0.511811024" top="0.78740157499999996" bottom="0.78740157499999996" header="0.31496062000000002" footer="0.31496062000000002"/>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46D37F-C4D7-4F37-A995-F3CFBC8E6395}">
  <dimension ref="A1:L173"/>
  <sheetViews>
    <sheetView zoomScaleNormal="100" workbookViewId="0">
      <selection sqref="A1:H1"/>
    </sheetView>
  </sheetViews>
  <sheetFormatPr defaultColWidth="25.7109375" defaultRowHeight="12" x14ac:dyDescent="0.2"/>
  <cols>
    <col min="1" max="1" width="5.85546875" style="8" bestFit="1" customWidth="1"/>
    <col min="2" max="2" width="8.7109375" style="75" customWidth="1"/>
    <col min="3" max="3" width="69.85546875" style="8" customWidth="1"/>
    <col min="4" max="4" width="15.7109375" style="8" bestFit="1" customWidth="1"/>
    <col min="5" max="5" width="17" style="8" customWidth="1"/>
    <col min="6" max="6" width="13.5703125" style="8" customWidth="1"/>
    <col min="7" max="7" width="21.140625" style="8" customWidth="1"/>
    <col min="8" max="8" width="27.42578125" style="8" customWidth="1"/>
    <col min="9" max="9" width="14.5703125" style="8" customWidth="1"/>
    <col min="10" max="10" width="57.140625" style="8" customWidth="1"/>
    <col min="11" max="11" width="10" style="8" customWidth="1"/>
    <col min="12" max="16384" width="25.7109375" style="8"/>
  </cols>
  <sheetData>
    <row r="1" spans="1:11" x14ac:dyDescent="0.2">
      <c r="A1" s="348" t="s">
        <v>1051</v>
      </c>
      <c r="B1" s="348"/>
      <c r="C1" s="348"/>
      <c r="D1" s="348"/>
      <c r="E1" s="348"/>
      <c r="F1" s="348"/>
      <c r="G1" s="348"/>
      <c r="H1" s="348"/>
      <c r="J1" s="73" t="s">
        <v>104</v>
      </c>
      <c r="K1" s="73" t="s">
        <v>105</v>
      </c>
    </row>
    <row r="2" spans="1:11" ht="12.75" customHeight="1" x14ac:dyDescent="0.2">
      <c r="A2" s="74" t="str">
        <f>OPEX!$A$4</f>
        <v>1.</v>
      </c>
      <c r="B2" s="347" t="str">
        <f>OPEX!$B$4</f>
        <v>ATIVIDADE DE LICENCIAMENTO AMBIENTAL</v>
      </c>
      <c r="C2" s="345"/>
      <c r="D2" s="345"/>
      <c r="E2" s="345"/>
      <c r="F2" s="345"/>
      <c r="G2" s="345"/>
      <c r="H2" s="346"/>
      <c r="J2" s="42" t="s">
        <v>106</v>
      </c>
      <c r="K2" s="42">
        <v>11.23</v>
      </c>
    </row>
    <row r="3" spans="1:11" x14ac:dyDescent="0.2">
      <c r="C3" s="76"/>
      <c r="D3" s="76"/>
      <c r="E3" s="76"/>
      <c r="F3" s="76"/>
      <c r="G3" s="76"/>
      <c r="H3" s="76"/>
      <c r="J3" s="42" t="s">
        <v>833</v>
      </c>
      <c r="K3" s="42">
        <f>2*140</f>
        <v>280</v>
      </c>
    </row>
    <row r="4" spans="1:11" ht="12.75" customHeight="1" x14ac:dyDescent="0.2">
      <c r="A4" s="48" t="str">
        <f>OPEX!$A$5</f>
        <v>1.1</v>
      </c>
      <c r="B4" s="77"/>
      <c r="C4" s="349" t="str">
        <f>OPEX!$B$5</f>
        <v>Renovação da Licença de Operação do Túnel Imerso</v>
      </c>
      <c r="D4" s="350"/>
      <c r="E4" s="350"/>
      <c r="F4" s="350"/>
      <c r="G4" s="350"/>
      <c r="H4" s="38">
        <f>H36</f>
        <v>3592099.3608000004</v>
      </c>
      <c r="J4" s="42" t="s">
        <v>108</v>
      </c>
      <c r="K4" s="42">
        <v>300</v>
      </c>
    </row>
    <row r="5" spans="1:11" x14ac:dyDescent="0.2">
      <c r="C5" s="45" t="s">
        <v>109</v>
      </c>
      <c r="D5" s="45" t="s">
        <v>28</v>
      </c>
      <c r="E5" s="45" t="s">
        <v>110</v>
      </c>
      <c r="F5" s="45" t="s">
        <v>111</v>
      </c>
      <c r="G5" s="45" t="s">
        <v>112</v>
      </c>
      <c r="H5" s="78" t="s">
        <v>113</v>
      </c>
      <c r="J5" s="79" t="s">
        <v>114</v>
      </c>
      <c r="K5" s="79">
        <v>2</v>
      </c>
    </row>
    <row r="6" spans="1:11" ht="13.5" customHeight="1" x14ac:dyDescent="0.2">
      <c r="C6" s="351" t="s">
        <v>115</v>
      </c>
      <c r="D6" s="352"/>
      <c r="E6" s="352"/>
      <c r="F6" s="352"/>
      <c r="G6" s="352"/>
      <c r="H6" s="353"/>
    </row>
    <row r="7" spans="1:11" x14ac:dyDescent="0.2">
      <c r="B7" s="80" t="s">
        <v>116</v>
      </c>
      <c r="C7" s="81" t="s">
        <v>117</v>
      </c>
      <c r="D7" s="82">
        <v>1</v>
      </c>
      <c r="E7" s="82">
        <f>($K$8/2)*($K$10/5)*($K$11)*$K$49</f>
        <v>16</v>
      </c>
      <c r="F7" s="82" t="s">
        <v>118</v>
      </c>
      <c r="G7" s="83">
        <f>INDEX('TPU MAR-24'!$D$9:$D$999,MATCH(B7,'TPU MAR-24'!$A$9:$A$999,0))</f>
        <v>391.54</v>
      </c>
      <c r="H7" s="83">
        <f>D7*E7*G7</f>
        <v>6264.64</v>
      </c>
      <c r="J7" s="42" t="s">
        <v>119</v>
      </c>
      <c r="K7" s="42">
        <v>1</v>
      </c>
    </row>
    <row r="8" spans="1:11" x14ac:dyDescent="0.2">
      <c r="B8" s="80" t="s">
        <v>120</v>
      </c>
      <c r="C8" s="81" t="s">
        <v>121</v>
      </c>
      <c r="D8" s="82">
        <v>1</v>
      </c>
      <c r="E8" s="82">
        <f>($K$8)*($K$10/5)*($K$11/4)*$K$49</f>
        <v>8</v>
      </c>
      <c r="F8" s="82" t="s">
        <v>118</v>
      </c>
      <c r="G8" s="83">
        <f>INDEX('TPU MAR-24'!$D$9:$D$999,MATCH(B8,'TPU MAR-24'!$A$9:$A$999,0))</f>
        <v>254.39</v>
      </c>
      <c r="H8" s="83">
        <f t="shared" ref="H8:H18" si="0">D8*E8*G8</f>
        <v>2035.12</v>
      </c>
      <c r="J8" s="42" t="s">
        <v>122</v>
      </c>
      <c r="K8" s="42">
        <v>8</v>
      </c>
    </row>
    <row r="9" spans="1:11" x14ac:dyDescent="0.2">
      <c r="B9" s="80" t="s">
        <v>123</v>
      </c>
      <c r="C9" s="81" t="s">
        <v>124</v>
      </c>
      <c r="D9" s="82">
        <v>1</v>
      </c>
      <c r="E9" s="82">
        <f>($K$8)*($K$10/5)*($K$11/4)*$K$49</f>
        <v>8</v>
      </c>
      <c r="F9" s="82" t="s">
        <v>118</v>
      </c>
      <c r="G9" s="83">
        <f>INDEX('TPU MAR-24'!$D$9:$D$999,MATCH(B9,'TPU MAR-24'!$A$9:$A$999,0))</f>
        <v>268.08</v>
      </c>
      <c r="H9" s="83">
        <f t="shared" si="0"/>
        <v>2144.64</v>
      </c>
      <c r="J9" s="42" t="s">
        <v>125</v>
      </c>
      <c r="K9" s="42">
        <v>10</v>
      </c>
    </row>
    <row r="10" spans="1:11" x14ac:dyDescent="0.2">
      <c r="B10" s="80" t="s">
        <v>123</v>
      </c>
      <c r="C10" s="81" t="s">
        <v>126</v>
      </c>
      <c r="D10" s="82">
        <v>1</v>
      </c>
      <c r="E10" s="82">
        <f>($K$8/2)*($K$10/5)*($K$11)*$K$49</f>
        <v>16</v>
      </c>
      <c r="F10" s="82" t="s">
        <v>118</v>
      </c>
      <c r="G10" s="83">
        <f>INDEX('TPU MAR-24'!$D$9:$D$999,MATCH(B10,'TPU MAR-24'!$A$9:$A$999,0))</f>
        <v>268.08</v>
      </c>
      <c r="H10" s="83">
        <f t="shared" si="0"/>
        <v>4289.28</v>
      </c>
      <c r="J10" s="42" t="s">
        <v>127</v>
      </c>
      <c r="K10" s="42">
        <v>5</v>
      </c>
    </row>
    <row r="11" spans="1:11" x14ac:dyDescent="0.2">
      <c r="B11" s="80" t="s">
        <v>128</v>
      </c>
      <c r="C11" s="81" t="s">
        <v>129</v>
      </c>
      <c r="D11" s="82">
        <v>1</v>
      </c>
      <c r="E11" s="82">
        <f>($K$8)*($K$10/5)*($K$11/4)*$K$49</f>
        <v>8</v>
      </c>
      <c r="F11" s="82" t="s">
        <v>118</v>
      </c>
      <c r="G11" s="83">
        <f>INDEX('TPU MAR-24'!$D$9:$D$999,MATCH(B11,'TPU MAR-24'!$A$9:$A$999,0))</f>
        <v>263.36</v>
      </c>
      <c r="H11" s="83">
        <f t="shared" si="0"/>
        <v>2106.88</v>
      </c>
      <c r="J11" s="42" t="s">
        <v>130</v>
      </c>
      <c r="K11" s="42">
        <v>4</v>
      </c>
    </row>
    <row r="12" spans="1:11" x14ac:dyDescent="0.2">
      <c r="B12" s="84" t="s">
        <v>131</v>
      </c>
      <c r="C12" s="81" t="s">
        <v>132</v>
      </c>
      <c r="D12" s="82">
        <v>1</v>
      </c>
      <c r="E12" s="82">
        <f>($K$8/2)*$K$10*($K$11/4)*$K$49</f>
        <v>20</v>
      </c>
      <c r="F12" s="82" t="s">
        <v>118</v>
      </c>
      <c r="G12" s="83">
        <f>INDEX('TPU MAR-24'!$D$9:$D$999,MATCH(B12,'TPU MAR-24'!$A$9:$A$999,0))</f>
        <v>220.66</v>
      </c>
      <c r="H12" s="83">
        <f t="shared" si="0"/>
        <v>4413.2</v>
      </c>
    </row>
    <row r="13" spans="1:11" x14ac:dyDescent="0.2">
      <c r="B13" s="84" t="s">
        <v>133</v>
      </c>
      <c r="C13" s="81" t="s">
        <v>134</v>
      </c>
      <c r="D13" s="82">
        <v>1</v>
      </c>
      <c r="E13" s="82">
        <f>($K$8/2)*$K$10*($K$11/4)*$K$49</f>
        <v>20</v>
      </c>
      <c r="F13" s="82" t="s">
        <v>118</v>
      </c>
      <c r="G13" s="83">
        <f>INDEX('TPU MAR-24'!$D$9:$D$999,MATCH(B13,'TPU MAR-24'!$A$9:$A$999,0))</f>
        <v>189.39</v>
      </c>
      <c r="H13" s="83">
        <f t="shared" si="0"/>
        <v>3787.7999999999997</v>
      </c>
      <c r="J13" s="42" t="s">
        <v>135</v>
      </c>
      <c r="K13" s="42">
        <v>1</v>
      </c>
    </row>
    <row r="14" spans="1:11" x14ac:dyDescent="0.2">
      <c r="B14" s="84" t="s">
        <v>133</v>
      </c>
      <c r="C14" s="81" t="s">
        <v>136</v>
      </c>
      <c r="D14" s="82">
        <v>1</v>
      </c>
      <c r="E14" s="82">
        <f>$K$8*$K$10*($K$11/4)*$K$49</f>
        <v>40</v>
      </c>
      <c r="F14" s="82" t="s">
        <v>118</v>
      </c>
      <c r="G14" s="83">
        <f>INDEX('TPU MAR-24'!$D$9:$D$999,MATCH(B14,'TPU MAR-24'!$A$9:$A$999,0))</f>
        <v>189.39</v>
      </c>
      <c r="H14" s="83">
        <f t="shared" si="0"/>
        <v>7575.5999999999995</v>
      </c>
    </row>
    <row r="15" spans="1:11" x14ac:dyDescent="0.2">
      <c r="B15" s="84" t="s">
        <v>137</v>
      </c>
      <c r="C15" s="81" t="s">
        <v>138</v>
      </c>
      <c r="D15" s="82">
        <v>1</v>
      </c>
      <c r="E15" s="82">
        <f>$K$8*$K$10*($K$11/4)*$K$49</f>
        <v>40</v>
      </c>
      <c r="F15" s="82" t="s">
        <v>118</v>
      </c>
      <c r="G15" s="83">
        <f>INDEX('TPU MAR-24'!$D$9:$D$999,MATCH(B15,'TPU MAR-24'!$A$9:$A$999,0))</f>
        <v>208.51</v>
      </c>
      <c r="H15" s="83">
        <f t="shared" si="0"/>
        <v>8340.4</v>
      </c>
      <c r="J15" s="42" t="s">
        <v>139</v>
      </c>
      <c r="K15" s="85">
        <v>60</v>
      </c>
    </row>
    <row r="16" spans="1:11" x14ac:dyDescent="0.2">
      <c r="B16" s="84" t="s">
        <v>140</v>
      </c>
      <c r="C16" s="81" t="s">
        <v>141</v>
      </c>
      <c r="D16" s="82">
        <v>1</v>
      </c>
      <c r="E16" s="82">
        <f>($K$8/2)*$K$10*($K$11/4)*$K$49</f>
        <v>20</v>
      </c>
      <c r="F16" s="82" t="s">
        <v>118</v>
      </c>
      <c r="G16" s="83">
        <f>INDEX('TPU MAR-24'!$D$9:$D$999,MATCH(B16,'TPU MAR-24'!$A$9:$A$999,0))</f>
        <v>213.54</v>
      </c>
      <c r="H16" s="83">
        <f t="shared" si="0"/>
        <v>4270.8</v>
      </c>
      <c r="J16" s="42" t="s">
        <v>142</v>
      </c>
      <c r="K16" s="85">
        <v>500</v>
      </c>
    </row>
    <row r="17" spans="1:12" x14ac:dyDescent="0.2">
      <c r="B17" s="84" t="s">
        <v>143</v>
      </c>
      <c r="C17" s="81" t="s">
        <v>144</v>
      </c>
      <c r="D17" s="82">
        <v>1</v>
      </c>
      <c r="E17" s="82">
        <f>($K$8)*($K$10/5)*($K$11/2)*$K$49</f>
        <v>16</v>
      </c>
      <c r="F17" s="82" t="s">
        <v>118</v>
      </c>
      <c r="G17" s="83">
        <f>INDEX('TPU MAR-24'!$D$9:$D$999,MATCH(B17,'TPU MAR-24'!$A$9:$A$999,0))</f>
        <v>94.41</v>
      </c>
      <c r="H17" s="83">
        <f t="shared" si="0"/>
        <v>1510.56</v>
      </c>
      <c r="J17" s="42" t="s">
        <v>145</v>
      </c>
      <c r="K17" s="85">
        <v>3800</v>
      </c>
    </row>
    <row r="18" spans="1:12" x14ac:dyDescent="0.2">
      <c r="B18" s="84" t="s">
        <v>146</v>
      </c>
      <c r="C18" s="81" t="s">
        <v>147</v>
      </c>
      <c r="D18" s="82">
        <v>1</v>
      </c>
      <c r="E18" s="82">
        <f>($K$8)*($K$10/5)*($K$11/2)*$K$49</f>
        <v>16</v>
      </c>
      <c r="F18" s="82" t="s">
        <v>118</v>
      </c>
      <c r="G18" s="83">
        <f>INDEX('TPU MAR-24'!$D$9:$D$999,MATCH(B18,'TPU MAR-24'!$A$9:$A$999,0))</f>
        <v>46.06</v>
      </c>
      <c r="H18" s="83">
        <f t="shared" si="0"/>
        <v>736.96</v>
      </c>
      <c r="J18" s="42" t="s">
        <v>148</v>
      </c>
      <c r="K18" s="85">
        <v>1500</v>
      </c>
    </row>
    <row r="19" spans="1:12" x14ac:dyDescent="0.2">
      <c r="C19" s="86" t="s">
        <v>149</v>
      </c>
      <c r="D19" s="87"/>
      <c r="E19" s="82"/>
      <c r="F19" s="87"/>
      <c r="G19" s="87"/>
      <c r="H19" s="83"/>
      <c r="J19" s="42" t="s">
        <v>1048</v>
      </c>
      <c r="K19" s="85">
        <v>5000</v>
      </c>
    </row>
    <row r="20" spans="1:12" x14ac:dyDescent="0.2">
      <c r="A20" s="88"/>
      <c r="B20" s="84" t="s">
        <v>140</v>
      </c>
      <c r="C20" s="81" t="s">
        <v>141</v>
      </c>
      <c r="D20" s="82">
        <v>1</v>
      </c>
      <c r="E20" s="82">
        <f>(ROUNDUP(($K$2/$K$4),0)*$K$9)+($K$9*$K$7)</f>
        <v>20</v>
      </c>
      <c r="F20" s="82" t="s">
        <v>118</v>
      </c>
      <c r="G20" s="83">
        <f>INDEX('TPU MAR-24'!$D$9:$D$999,MATCH(B20,'TPU MAR-24'!$A$9:$A$999,0))</f>
        <v>213.54</v>
      </c>
      <c r="H20" s="83">
        <f>D20*E20*G20</f>
        <v>4270.8</v>
      </c>
    </row>
    <row r="21" spans="1:12" x14ac:dyDescent="0.2">
      <c r="A21" s="88"/>
      <c r="B21" s="84" t="s">
        <v>133</v>
      </c>
      <c r="C21" s="81" t="s">
        <v>151</v>
      </c>
      <c r="D21" s="82">
        <v>1</v>
      </c>
      <c r="E21" s="82">
        <f>(ROUNDUP(($K$2/$K$4),0)*$K$9)+($K$9*$K$7)</f>
        <v>20</v>
      </c>
      <c r="F21" s="82" t="s">
        <v>118</v>
      </c>
      <c r="G21" s="83">
        <f>INDEX('TPU MAR-24'!$D$9:$D$999,MATCH(B21,'TPU MAR-24'!$A$9:$A$999,0))</f>
        <v>189.39</v>
      </c>
      <c r="H21" s="83">
        <f t="shared" ref="H21:H22" si="1">D21*E21*G21</f>
        <v>3787.7999999999997</v>
      </c>
      <c r="J21" s="42" t="s">
        <v>150</v>
      </c>
      <c r="K21" s="42">
        <v>2</v>
      </c>
    </row>
    <row r="22" spans="1:12" x14ac:dyDescent="0.2">
      <c r="A22" s="88"/>
      <c r="B22" s="84" t="s">
        <v>153</v>
      </c>
      <c r="C22" s="81" t="s">
        <v>154</v>
      </c>
      <c r="D22" s="82">
        <v>2</v>
      </c>
      <c r="E22" s="82">
        <f>(ROUNDUP(($K$2/$K$4),0)*$K$9)</f>
        <v>10</v>
      </c>
      <c r="F22" s="82" t="s">
        <v>118</v>
      </c>
      <c r="G22" s="83">
        <f>INDEX('TPU MAR-24'!$D$9:$D$999,MATCH(B22,'TPU MAR-24'!$A$9:$A$999,0))</f>
        <v>25.5</v>
      </c>
      <c r="H22" s="83">
        <f t="shared" si="1"/>
        <v>510</v>
      </c>
      <c r="J22" s="42" t="s">
        <v>152</v>
      </c>
      <c r="K22" s="42">
        <f>K21*K5</f>
        <v>4</v>
      </c>
    </row>
    <row r="23" spans="1:12" x14ac:dyDescent="0.2">
      <c r="C23" s="354" t="s">
        <v>156</v>
      </c>
      <c r="D23" s="355"/>
      <c r="E23" s="355"/>
      <c r="F23" s="355"/>
      <c r="G23" s="356"/>
      <c r="H23" s="89">
        <f>SUM(H7:H22)</f>
        <v>56044.480000000003</v>
      </c>
      <c r="J23" s="42" t="s">
        <v>155</v>
      </c>
      <c r="K23" s="42">
        <f>($K$22/$K$53)</f>
        <v>2</v>
      </c>
    </row>
    <row r="24" spans="1:12" x14ac:dyDescent="0.2">
      <c r="C24" s="351" t="s">
        <v>158</v>
      </c>
      <c r="D24" s="352"/>
      <c r="E24" s="352"/>
      <c r="F24" s="352"/>
      <c r="G24" s="352"/>
      <c r="H24" s="353"/>
      <c r="J24" s="42" t="s">
        <v>157</v>
      </c>
      <c r="K24" s="42">
        <v>1</v>
      </c>
    </row>
    <row r="25" spans="1:12" x14ac:dyDescent="0.2">
      <c r="C25" s="81" t="s">
        <v>160</v>
      </c>
      <c r="D25" s="26">
        <f>D20</f>
        <v>1</v>
      </c>
      <c r="E25" s="82">
        <f>(ROUNDUP(($K$2/$K$4),0))+($K$7)</f>
        <v>2</v>
      </c>
      <c r="F25" s="82" t="s">
        <v>161</v>
      </c>
      <c r="G25" s="83">
        <f>'TPU MAR-24'!$C$52</f>
        <v>318.24</v>
      </c>
      <c r="H25" s="83">
        <f t="shared" ref="H25:H30" si="2">D25*E25*G25</f>
        <v>636.48</v>
      </c>
      <c r="J25" s="42" t="s">
        <v>159</v>
      </c>
      <c r="K25" s="42">
        <v>1</v>
      </c>
    </row>
    <row r="26" spans="1:12" x14ac:dyDescent="0.2">
      <c r="C26" s="81" t="s">
        <v>163</v>
      </c>
      <c r="D26" s="26">
        <f>D21</f>
        <v>1</v>
      </c>
      <c r="E26" s="82">
        <f>(ROUNDUP(($K$2/$K$4),0))+($K$7)</f>
        <v>2</v>
      </c>
      <c r="F26" s="82" t="s">
        <v>161</v>
      </c>
      <c r="G26" s="83">
        <f>'TPU MAR-24'!$C$52</f>
        <v>318.24</v>
      </c>
      <c r="H26" s="83">
        <f t="shared" si="2"/>
        <v>636.48</v>
      </c>
      <c r="J26" s="42" t="s">
        <v>162</v>
      </c>
      <c r="K26" s="42">
        <v>1</v>
      </c>
      <c r="L26" s="90"/>
    </row>
    <row r="27" spans="1:12" x14ac:dyDescent="0.2">
      <c r="C27" s="81" t="s">
        <v>165</v>
      </c>
      <c r="D27" s="26">
        <f>D22</f>
        <v>2</v>
      </c>
      <c r="E27" s="82">
        <f>(ROUNDUP(($K$2/$K$4),0))</f>
        <v>1</v>
      </c>
      <c r="F27" s="82" t="s">
        <v>161</v>
      </c>
      <c r="G27" s="83">
        <f>'TPU MAR-24'!$C$53</f>
        <v>159.12</v>
      </c>
      <c r="H27" s="83">
        <f t="shared" si="2"/>
        <v>318.24</v>
      </c>
      <c r="J27" s="42" t="s">
        <v>164</v>
      </c>
      <c r="K27" s="42">
        <v>2</v>
      </c>
    </row>
    <row r="28" spans="1:12" x14ac:dyDescent="0.2">
      <c r="C28" s="91" t="s">
        <v>167</v>
      </c>
      <c r="D28" s="16">
        <v>1</v>
      </c>
      <c r="E28" s="92">
        <v>1</v>
      </c>
      <c r="F28" s="92" t="s">
        <v>168</v>
      </c>
      <c r="G28" s="93">
        <v>1500</v>
      </c>
      <c r="H28" s="94">
        <f t="shared" si="2"/>
        <v>1500</v>
      </c>
      <c r="J28" s="42" t="s">
        <v>166</v>
      </c>
      <c r="K28" s="42">
        <v>1</v>
      </c>
    </row>
    <row r="29" spans="1:12" x14ac:dyDescent="0.2">
      <c r="C29" s="81" t="s">
        <v>170</v>
      </c>
      <c r="D29" s="26">
        <f>D22</f>
        <v>2</v>
      </c>
      <c r="E29" s="82">
        <f>(ROUNDUP(($K$2/$K$4),0))+($K$7)</f>
        <v>2</v>
      </c>
      <c r="F29" s="26" t="s">
        <v>161</v>
      </c>
      <c r="G29" s="95">
        <f>'TPU MAR-24'!$D$42</f>
        <v>193.64</v>
      </c>
      <c r="H29" s="83">
        <f t="shared" si="2"/>
        <v>774.56</v>
      </c>
      <c r="J29" s="42" t="s">
        <v>169</v>
      </c>
      <c r="K29" s="42">
        <v>2</v>
      </c>
    </row>
    <row r="30" spans="1:12" x14ac:dyDescent="0.2">
      <c r="C30" s="81" t="s">
        <v>172</v>
      </c>
      <c r="D30" s="26">
        <f>D22</f>
        <v>2</v>
      </c>
      <c r="E30" s="96">
        <f>$K$2+$K$3</f>
        <v>291.23</v>
      </c>
      <c r="F30" s="26" t="s">
        <v>173</v>
      </c>
      <c r="G30" s="95">
        <f>'TPU MAR-24'!$D$40</f>
        <v>1.29</v>
      </c>
      <c r="H30" s="83">
        <f t="shared" si="2"/>
        <v>751.37340000000006</v>
      </c>
      <c r="J30" s="42" t="s">
        <v>171</v>
      </c>
      <c r="K30" s="42">
        <v>1</v>
      </c>
    </row>
    <row r="31" spans="1:12" x14ac:dyDescent="0.2">
      <c r="C31" s="354" t="s">
        <v>175</v>
      </c>
      <c r="D31" s="355"/>
      <c r="E31" s="355"/>
      <c r="F31" s="355"/>
      <c r="G31" s="356"/>
      <c r="H31" s="97">
        <f>SUM(H25:H30)</f>
        <v>4617.1333999999997</v>
      </c>
      <c r="J31" s="42" t="s">
        <v>174</v>
      </c>
      <c r="K31" s="42">
        <v>1</v>
      </c>
    </row>
    <row r="32" spans="1:12" x14ac:dyDescent="0.2">
      <c r="C32" s="351" t="s">
        <v>177</v>
      </c>
      <c r="D32" s="352"/>
      <c r="E32" s="352"/>
      <c r="F32" s="352"/>
      <c r="G32" s="352"/>
      <c r="H32" s="353"/>
      <c r="J32" s="42" t="s">
        <v>176</v>
      </c>
      <c r="K32" s="98">
        <v>1300</v>
      </c>
    </row>
    <row r="33" spans="1:11" x14ac:dyDescent="0.2">
      <c r="C33" s="354" t="s">
        <v>179</v>
      </c>
      <c r="D33" s="355"/>
      <c r="E33" s="355"/>
      <c r="F33" s="355"/>
      <c r="G33" s="356"/>
      <c r="H33" s="52">
        <f>H23+H31</f>
        <v>60661.613400000002</v>
      </c>
      <c r="J33" s="42" t="s">
        <v>178</v>
      </c>
      <c r="K33" s="98">
        <v>1800</v>
      </c>
    </row>
    <row r="34" spans="1:11" x14ac:dyDescent="0.2">
      <c r="A34" s="99"/>
      <c r="B34" s="100"/>
      <c r="C34" s="358" t="s">
        <v>181</v>
      </c>
      <c r="D34" s="359"/>
      <c r="E34" s="359"/>
      <c r="F34" s="360"/>
      <c r="G34" s="97">
        <f>'Taxa Licenciamento'!$D$13</f>
        <v>238680</v>
      </c>
      <c r="H34" s="52"/>
      <c r="J34" s="42" t="s">
        <v>180</v>
      </c>
      <c r="K34" s="85">
        <v>600</v>
      </c>
    </row>
    <row r="35" spans="1:11" x14ac:dyDescent="0.2">
      <c r="C35" s="354" t="s">
        <v>182</v>
      </c>
      <c r="D35" s="355"/>
      <c r="E35" s="355"/>
      <c r="F35" s="355"/>
      <c r="G35" s="356"/>
      <c r="H35" s="89">
        <f>H33+G34</f>
        <v>299341.61340000003</v>
      </c>
    </row>
    <row r="36" spans="1:11" x14ac:dyDescent="0.2">
      <c r="C36" s="354" t="s">
        <v>184</v>
      </c>
      <c r="D36" s="355"/>
      <c r="E36" s="355"/>
      <c r="F36" s="356"/>
      <c r="G36" s="102">
        <f>$K$54/$K$55</f>
        <v>12</v>
      </c>
      <c r="H36" s="89">
        <f>H35*G36</f>
        <v>3592099.3608000004</v>
      </c>
      <c r="J36" s="42" t="s">
        <v>183</v>
      </c>
      <c r="K36" s="101">
        <v>2</v>
      </c>
    </row>
    <row r="37" spans="1:11" x14ac:dyDescent="0.2">
      <c r="C37" s="76"/>
      <c r="D37" s="76"/>
      <c r="E37" s="76"/>
      <c r="F37" s="76"/>
      <c r="G37" s="76"/>
      <c r="H37" s="76"/>
      <c r="J37" s="42" t="s">
        <v>185</v>
      </c>
      <c r="K37" s="101">
        <f>$K$36*$K$5</f>
        <v>4</v>
      </c>
    </row>
    <row r="38" spans="1:11" x14ac:dyDescent="0.2">
      <c r="C38" s="76"/>
      <c r="D38" s="76"/>
      <c r="E38" s="76"/>
      <c r="F38" s="76"/>
      <c r="G38" s="76"/>
      <c r="H38" s="76"/>
      <c r="J38" s="42" t="s">
        <v>186</v>
      </c>
      <c r="K38" s="103">
        <v>1.5</v>
      </c>
    </row>
    <row r="39" spans="1:11" x14ac:dyDescent="0.2">
      <c r="A39" s="74" t="str">
        <f>OPEX!$A$7</f>
        <v>2.</v>
      </c>
      <c r="B39" s="347" t="str">
        <f>OPEX!$B$7</f>
        <v>PROGRAMAS SOCIOAMBIENTAIS DA FASE DE OPERAÇÃO</v>
      </c>
      <c r="C39" s="345"/>
      <c r="D39" s="345"/>
      <c r="E39" s="345"/>
      <c r="F39" s="345"/>
      <c r="G39" s="345"/>
      <c r="H39" s="346"/>
      <c r="J39" s="42" t="s">
        <v>187</v>
      </c>
      <c r="K39" s="103">
        <v>8</v>
      </c>
    </row>
    <row r="40" spans="1:11" x14ac:dyDescent="0.2">
      <c r="C40" s="76"/>
      <c r="D40" s="76"/>
      <c r="E40" s="76"/>
      <c r="F40" s="76"/>
      <c r="G40" s="76"/>
      <c r="H40" s="76"/>
      <c r="J40" s="42" t="s">
        <v>188</v>
      </c>
      <c r="K40" s="103">
        <v>500</v>
      </c>
    </row>
    <row r="41" spans="1:11" x14ac:dyDescent="0.2">
      <c r="A41" s="48" t="str">
        <f>OPEX!$A$8</f>
        <v>2.1</v>
      </c>
      <c r="B41" s="77"/>
      <c r="C41" s="349" t="str">
        <f>OPEX!$B$8</f>
        <v>Programa de Supervisão Ambiental da Operação</v>
      </c>
      <c r="D41" s="350"/>
      <c r="E41" s="350"/>
      <c r="F41" s="350"/>
      <c r="G41" s="350"/>
      <c r="H41" s="38">
        <f>H62</f>
        <v>7161824.6496000001</v>
      </c>
      <c r="K41" s="106"/>
    </row>
    <row r="42" spans="1:11" x14ac:dyDescent="0.2">
      <c r="C42" s="45" t="s">
        <v>109</v>
      </c>
      <c r="D42" s="45" t="s">
        <v>28</v>
      </c>
      <c r="E42" s="45" t="s">
        <v>110</v>
      </c>
      <c r="F42" s="45" t="s">
        <v>111</v>
      </c>
      <c r="G42" s="45" t="s">
        <v>112</v>
      </c>
      <c r="H42" s="78" t="s">
        <v>113</v>
      </c>
      <c r="J42" s="42" t="s">
        <v>191</v>
      </c>
      <c r="K42" s="103">
        <v>2</v>
      </c>
    </row>
    <row r="43" spans="1:11" x14ac:dyDescent="0.2">
      <c r="C43" s="351" t="s">
        <v>115</v>
      </c>
      <c r="D43" s="352"/>
      <c r="E43" s="352"/>
      <c r="F43" s="352"/>
      <c r="G43" s="352"/>
      <c r="H43" s="353"/>
      <c r="J43" s="42" t="s">
        <v>192</v>
      </c>
      <c r="K43" s="107">
        <f>$K$42</f>
        <v>2</v>
      </c>
    </row>
    <row r="44" spans="1:11" x14ac:dyDescent="0.2">
      <c r="A44" s="88"/>
      <c r="B44" s="80" t="s">
        <v>116</v>
      </c>
      <c r="C44" s="81" t="s">
        <v>117</v>
      </c>
      <c r="D44" s="82">
        <v>1</v>
      </c>
      <c r="E44" s="82">
        <f>IF(AND($K$2&gt;0,$K$2&lt;=300),(4/2)*$K$8,IF(AND($K$2&gt;300,$K$2&lt;=400),(4/2)*$K$8,IF(AND($K$2&gt;400,$K$2&lt;=500),(4/2)*$K$8,IF(AND($K$2&gt;500,$K$2&lt;=600),(5/2)*$K$8,IF(AND($K$2&gt;600,$K$2&lt;=700),(5/2)*$K$8,IF(AND($K$2&gt;700,$K$2&lt;=800),(6/2)*$K$8,IF(AND($K$2&gt;800,$K$2&lt;=900),(7/2)*$K$8,IF(AND($K$2&gt;1000),(8/2)*$K$8))))))))</f>
        <v>16</v>
      </c>
      <c r="F44" s="82" t="s">
        <v>118</v>
      </c>
      <c r="G44" s="83">
        <f>INDEX('TPU MAR-24'!$D$9:$D$999,MATCH(B44,'TPU MAR-24'!$A$9:$A$999,0))</f>
        <v>391.54</v>
      </c>
      <c r="H44" s="83">
        <f t="shared" ref="H44:H46" si="3">D44*E44*G44</f>
        <v>6264.64</v>
      </c>
      <c r="J44" s="42" t="s">
        <v>194</v>
      </c>
      <c r="K44" s="42">
        <v>2</v>
      </c>
    </row>
    <row r="45" spans="1:11" x14ac:dyDescent="0.2">
      <c r="A45" s="88"/>
      <c r="B45" s="84" t="s">
        <v>140</v>
      </c>
      <c r="C45" s="81" t="s">
        <v>141</v>
      </c>
      <c r="D45" s="82">
        <f>IF(AND($K$2&gt;0,$K$2&lt;=300),1,IF(AND($K$2&gt;300,$K$2&lt;=400),1,IF(AND($K$2&gt;400,$K$2&lt;=500),1,IF(AND($K$2&gt;500,$K$2&lt;=600),1,IF(AND($K$2&gt;600,$K$2&lt;=700),2,IF(AND($K$2&gt;700,$K$2&lt;=800),2,IF(AND($K$2&gt;800,$K$2&lt;=900),2,IF(AND($K$2&gt;1000),2))))))))</f>
        <v>1</v>
      </c>
      <c r="E45" s="82">
        <f>IF(AND($K$2&gt;0,$K$2&lt;=300),(4)*$K$8,IF(AND($K$2&gt;300,$K$2&lt;=400),(4)*$K$8,IF(AND($K$2&gt;400,$K$2&lt;=500),(4)*$K$8,IF(AND($K$2&gt;500,$K$2&lt;=600),(5)*$K$8,IF(AND($K$2&gt;600,$K$2&lt;=700),(5)*$K$8,IF(AND($K$2&gt;700,$K$2&lt;=800),(6)*$K$8,IF(AND($K$2&gt;800,$K$2&lt;=900),(7)*$K$8,IF(AND($K$2&gt;1000),(8)*$K$8))))))))</f>
        <v>32</v>
      </c>
      <c r="F45" s="82" t="s">
        <v>118</v>
      </c>
      <c r="G45" s="83">
        <f>INDEX('TPU MAR-24'!$D$9:$D$999,MATCH(B45,'TPU MAR-24'!$A$9:$A$999,0))</f>
        <v>213.54</v>
      </c>
      <c r="H45" s="83">
        <f t="shared" si="3"/>
        <v>6833.28</v>
      </c>
      <c r="J45" s="42" t="s">
        <v>196</v>
      </c>
      <c r="K45" s="107">
        <f>$K$43*$K$44</f>
        <v>4</v>
      </c>
    </row>
    <row r="46" spans="1:11" x14ac:dyDescent="0.2">
      <c r="A46" s="88"/>
      <c r="B46" s="84" t="s">
        <v>143</v>
      </c>
      <c r="C46" s="81" t="s">
        <v>200</v>
      </c>
      <c r="D46" s="82">
        <v>1</v>
      </c>
      <c r="E46" s="82">
        <f>IF(AND($K$2&gt;0,$K$2&lt;=300),(1)*$K$8,IF(AND($K$2&gt;300,$K$2&lt;=400),(1)*$K$8,IF(AND($K$2&gt;400,$K$2&lt;=500),(1)*$K$8,IF(AND($K$2&gt;500,$K$2&lt;=600),(1)*$K$8,IF(AND($K$2&gt;600,$K$2&lt;=700),(2)*$K$8,IF(AND($K$2&gt;700,$K$2&lt;=800),(2)*$K$8,IF(AND($K$2&gt;800,$K$2&lt;=900),(2)*$K$8,IF(AND($K$2&gt;1000),(2)*$K$8))))))))</f>
        <v>8</v>
      </c>
      <c r="F46" s="82" t="s">
        <v>118</v>
      </c>
      <c r="G46" s="83">
        <f>INDEX('TPU MAR-24'!$D$9:$D$999,MATCH(B46,'TPU MAR-24'!$A$9:$A$999,0))</f>
        <v>94.41</v>
      </c>
      <c r="H46" s="83">
        <f t="shared" si="3"/>
        <v>755.28</v>
      </c>
      <c r="J46" s="42" t="s">
        <v>198</v>
      </c>
      <c r="K46" s="103">
        <v>3000</v>
      </c>
    </row>
    <row r="47" spans="1:11" x14ac:dyDescent="0.2">
      <c r="A47" s="88"/>
      <c r="B47" s="84" t="s">
        <v>146</v>
      </c>
      <c r="C47" s="81" t="s">
        <v>147</v>
      </c>
      <c r="D47" s="82">
        <v>1</v>
      </c>
      <c r="E47" s="82">
        <f>IF(AND($K$2&gt;0,$K$2&lt;=300),(1)*$K$8,IF(AND($K$2&gt;300,$K$2&lt;=400),(1)*$K$8,IF(AND($K$2&gt;400,$K$2&lt;=500),(1)*$K$8,IF(AND($K$2&gt;500,$K$2&lt;=600),(1)*$K$8,IF(AND($K$2&gt;600,$K$2&lt;=700),(2)*$K$8,IF(AND($K$2&gt;700,$K$2&lt;=800),(2)*$K$8,IF(AND($K$2&gt;800,$K$2&lt;=900),(2)*$K$8,IF(AND($K$2&gt;1000),(2)*$K$8))))))))</f>
        <v>8</v>
      </c>
      <c r="F47" s="82" t="s">
        <v>118</v>
      </c>
      <c r="G47" s="83">
        <f>INDEX('TPU MAR-24'!$D$9:$D$999,MATCH(B47,'TPU MAR-24'!$A$9:$A$999,0))</f>
        <v>46.06</v>
      </c>
      <c r="H47" s="83">
        <f>D47*E47*G47</f>
        <v>368.48</v>
      </c>
      <c r="J47" s="42" t="s">
        <v>199</v>
      </c>
      <c r="K47" s="103">
        <v>200</v>
      </c>
    </row>
    <row r="48" spans="1:11" x14ac:dyDescent="0.2">
      <c r="C48" s="86" t="s">
        <v>149</v>
      </c>
      <c r="D48" s="87"/>
      <c r="E48" s="82"/>
      <c r="F48" s="87"/>
      <c r="G48" s="87"/>
      <c r="H48" s="83"/>
    </row>
    <row r="49" spans="1:11" x14ac:dyDescent="0.2">
      <c r="A49" s="88"/>
      <c r="B49" s="84" t="s">
        <v>140</v>
      </c>
      <c r="C49" s="81" t="s">
        <v>141</v>
      </c>
      <c r="D49" s="82">
        <f>IF(AND($K$2&gt;0,$K$2&lt;=300),1,IF(AND($K$2&gt;300,$K$2&lt;=400),1,IF(AND($K$2&gt;400,$K$2&lt;=500),1,IF(AND($K$2&gt;500,$K$2&lt;=600),1,IF(AND($K$2&gt;600,$K$2&lt;=700),2,IF(AND($K$2&gt;700,$K$2&lt;=800),2,IF(AND($K$2&gt;800,$K$2&lt;=900),2,IF(AND($K$2&gt;1000),2))))))))</f>
        <v>1</v>
      </c>
      <c r="E49" s="82">
        <f>IF(AND($K$2&gt;0,$K$2&lt;=300),(2+$K$7)*$K$9,IF(AND($K$2&gt;300,$K$2&lt;=400),(4+$K$7)*$K$9,IF(AND($K$2&gt;400,$K$2&lt;=500),(5+$K$7)*$K$9,IF(AND($K$2&gt;500,$K$2&lt;=600),(5+$K$7)*$K$9,IF(AND($K$2&gt;600,$K$2&lt;=700),(6+$K$7)*$K$9,IF(AND($K$2&gt;700,$K$2&lt;=800),(6+$K$7)*$K$9,IF(AND($K$2&gt;800,$K$2&lt;=900),(7+$K$7)*$K$9,IF(AND($K$2&gt;1000),(8+$K$7)*$K$9))))))))</f>
        <v>30</v>
      </c>
      <c r="F49" s="82" t="s">
        <v>118</v>
      </c>
      <c r="G49" s="83">
        <f>INDEX('TPU MAR-24'!$D$9:$D$999,MATCH(B49,'TPU MAR-24'!$A$9:$A$999,0))</f>
        <v>213.54</v>
      </c>
      <c r="H49" s="83">
        <f>D49*E49*G49</f>
        <v>6406.2</v>
      </c>
      <c r="J49" s="42" t="s">
        <v>201</v>
      </c>
      <c r="K49" s="42">
        <v>1</v>
      </c>
    </row>
    <row r="50" spans="1:11" x14ac:dyDescent="0.2">
      <c r="A50" s="88"/>
      <c r="B50" s="84" t="s">
        <v>153</v>
      </c>
      <c r="C50" s="81" t="s">
        <v>154</v>
      </c>
      <c r="D50" s="82">
        <f>IF(AND($K$2&gt;0,$K$2&lt;=300),1,IF(AND($K$2&gt;300,$K$2&lt;=400),1,IF(AND($K$2&gt;400,$K$2&lt;=500),1,IF(AND($K$2&gt;500,$K$2&lt;=600),1,IF(AND($K$2&gt;600,$K$2&lt;=700),2,IF(AND($K$2&gt;700,$K$2&lt;=800),2,IF(AND($K$2&gt;800,$K$2&lt;=900),2,IF(AND($K$2&gt;1000),2))))))))</f>
        <v>1</v>
      </c>
      <c r="E50" s="82">
        <f>IF(AND($K$2&gt;0,$K$2&lt;=300),(2)*$K$9,IF(AND($K$2&gt;300,$K$2&lt;=400),(4)*$K$9,IF(AND($K$2&gt;400,$K$2&lt;=500),(5)*$K$9,IF(AND($K$2&gt;500,$K$2&lt;=600),(5)*$K$9,IF(AND($K$2&gt;600,$K$2&lt;=700),(6)*$K$9,IF(AND($K$2&gt;700,$K$2&lt;=800),(6)*$K$9,IF(AND($K$2&gt;800,$K$2&lt;=900),(7)*$K$9,IF(AND($K$2&gt;1000),(8)*$K$9))))))))</f>
        <v>20</v>
      </c>
      <c r="F50" s="82" t="s">
        <v>118</v>
      </c>
      <c r="G50" s="83">
        <f>INDEX('TPU MAR-24'!$D$9:$D$999,MATCH(B50,'TPU MAR-24'!$A$9:$A$999,0))</f>
        <v>25.5</v>
      </c>
      <c r="H50" s="83">
        <f>D50*E50*G50</f>
        <v>510</v>
      </c>
    </row>
    <row r="51" spans="1:11" x14ac:dyDescent="0.2">
      <c r="C51" s="354" t="s">
        <v>156</v>
      </c>
      <c r="D51" s="355"/>
      <c r="E51" s="355"/>
      <c r="F51" s="355"/>
      <c r="G51" s="356"/>
      <c r="H51" s="89">
        <f>SUM(H44:H50)</f>
        <v>21137.88</v>
      </c>
      <c r="J51" s="42" t="s">
        <v>203</v>
      </c>
      <c r="K51" s="42">
        <v>12</v>
      </c>
    </row>
    <row r="52" spans="1:11" x14ac:dyDescent="0.2">
      <c r="C52" s="351" t="s">
        <v>158</v>
      </c>
      <c r="D52" s="352"/>
      <c r="E52" s="352"/>
      <c r="F52" s="352"/>
      <c r="G52" s="352"/>
      <c r="H52" s="353"/>
      <c r="J52" s="42" t="s">
        <v>206</v>
      </c>
      <c r="K52" s="42">
        <v>6</v>
      </c>
    </row>
    <row r="53" spans="1:11" x14ac:dyDescent="0.2">
      <c r="C53" s="81" t="s">
        <v>160</v>
      </c>
      <c r="D53" s="26">
        <f>D49</f>
        <v>1</v>
      </c>
      <c r="E53" s="82">
        <f>IF(AND($K$2&gt;0,$K$2&lt;=300),(2+$K$7),IF(AND($K$2&gt;300,$K$2&lt;=400),(4+$K$7),IF(AND($K$2&gt;400,$K$2&lt;=500),(5+$K$7),IF(AND($K$2&gt;500,$K$2&lt;=600),(5+$K$7),IF(AND($K$2&gt;600,$K$2&lt;=700),(6+$K$7),IF(AND($K$2&gt;700,$K$2&lt;=800),(6+$K$7),IF(AND($K$2&gt;800,$K$2&lt;=900),(7+$K$7),IF(AND($K$2&gt;1000),(8+$K$7)))))))))</f>
        <v>3</v>
      </c>
      <c r="F53" s="82" t="s">
        <v>161</v>
      </c>
      <c r="G53" s="83">
        <f>'TPU MAR-24'!$C$52</f>
        <v>318.24</v>
      </c>
      <c r="H53" s="83">
        <f t="shared" ref="H53:H57" si="4">D53*E53*G53</f>
        <v>954.72</v>
      </c>
      <c r="J53" s="42" t="s">
        <v>207</v>
      </c>
      <c r="K53" s="42">
        <f>K51/K52</f>
        <v>2</v>
      </c>
    </row>
    <row r="54" spans="1:11" x14ac:dyDescent="0.2">
      <c r="C54" s="81" t="s">
        <v>165</v>
      </c>
      <c r="D54" s="26">
        <f>D50</f>
        <v>1</v>
      </c>
      <c r="E54" s="82">
        <f>IF(AND($K$2&gt;0,$K$2&lt;=300),(2),IF(AND($K$2&gt;300,$K$2&lt;=400),(4),IF(AND($K$2&gt;400,$K$2&lt;=500),(5),IF(AND($K$2&gt;500,$K$2&lt;=600),(5),IF(AND($K$2&gt;600,$K$2&lt;=700),(6),IF(AND($K$2&gt;700,$K$2&lt;=800),(6),IF(AND($K$2&gt;800,$K$2&lt;=900),(7),IF(AND($K$2&gt;1000),(8)))))))))</f>
        <v>2</v>
      </c>
      <c r="F54" s="82" t="s">
        <v>161</v>
      </c>
      <c r="G54" s="83">
        <f>'TPU MAR-24'!$C$53</f>
        <v>159.12</v>
      </c>
      <c r="H54" s="83">
        <f t="shared" si="4"/>
        <v>318.24</v>
      </c>
      <c r="J54" s="42" t="s">
        <v>208</v>
      </c>
      <c r="K54" s="42">
        <v>24</v>
      </c>
    </row>
    <row r="55" spans="1:11" x14ac:dyDescent="0.2">
      <c r="C55" s="81" t="s">
        <v>167</v>
      </c>
      <c r="D55" s="16">
        <v>1</v>
      </c>
      <c r="E55" s="92">
        <v>1</v>
      </c>
      <c r="F55" s="92" t="s">
        <v>168</v>
      </c>
      <c r="G55" s="93">
        <v>1500</v>
      </c>
      <c r="H55" s="83">
        <f t="shared" si="4"/>
        <v>1500</v>
      </c>
      <c r="J55" s="42" t="s">
        <v>210</v>
      </c>
      <c r="K55" s="42">
        <v>2</v>
      </c>
    </row>
    <row r="56" spans="1:11" x14ac:dyDescent="0.2">
      <c r="C56" s="81" t="s">
        <v>170</v>
      </c>
      <c r="D56" s="26">
        <f>D50</f>
        <v>1</v>
      </c>
      <c r="E56" s="82">
        <f>IF(AND($K$2&gt;0,$K$2&lt;=300),(2+$K$7),IF(AND($K$2&gt;300,$K$2&lt;=400),(4+$K$7),IF(AND($K$2&gt;400,$K$2&lt;=500),(5+$K$7),IF(AND($K$2&gt;500,$K$2&lt;=600),(5+$K$7),IF(AND($K$2&gt;600,$K$2&lt;=700),(6+$K$7),IF(AND($K$2&gt;700,$K$2&lt;=800),(6+$K$7),IF(AND($K$2&gt;800,$K$2&lt;=900),(7+$K$7),IF(AND($K$2&gt;1000),(8+$K$7)))))))))</f>
        <v>3</v>
      </c>
      <c r="F56" s="26" t="s">
        <v>161</v>
      </c>
      <c r="G56" s="95">
        <f>'TPU MAR-24'!$D$42</f>
        <v>193.64</v>
      </c>
      <c r="H56" s="83">
        <f t="shared" si="4"/>
        <v>580.91999999999996</v>
      </c>
    </row>
    <row r="57" spans="1:11" x14ac:dyDescent="0.2">
      <c r="A57" s="104"/>
      <c r="B57" s="105"/>
      <c r="C57" s="81" t="s">
        <v>217</v>
      </c>
      <c r="D57" s="26">
        <f>D50</f>
        <v>1</v>
      </c>
      <c r="E57" s="96">
        <f>$K$2+$K$3</f>
        <v>291.23</v>
      </c>
      <c r="F57" s="26" t="s">
        <v>173</v>
      </c>
      <c r="G57" s="95">
        <f>'TPU MAR-24'!$D$40</f>
        <v>1.29</v>
      </c>
      <c r="H57" s="83">
        <f t="shared" si="4"/>
        <v>375.68670000000003</v>
      </c>
      <c r="J57" s="42" t="s">
        <v>212</v>
      </c>
      <c r="K57" s="42">
        <v>7</v>
      </c>
    </row>
    <row r="58" spans="1:11" x14ac:dyDescent="0.2">
      <c r="C58" s="354" t="s">
        <v>175</v>
      </c>
      <c r="D58" s="355"/>
      <c r="E58" s="355"/>
      <c r="F58" s="355"/>
      <c r="G58" s="356"/>
      <c r="H58" s="97">
        <f>SUM(H53:H57)</f>
        <v>3729.5667000000003</v>
      </c>
      <c r="J58" s="42" t="s">
        <v>214</v>
      </c>
      <c r="K58" s="42">
        <v>3</v>
      </c>
    </row>
    <row r="59" spans="1:11" x14ac:dyDescent="0.2">
      <c r="C59" s="351" t="s">
        <v>177</v>
      </c>
      <c r="D59" s="352"/>
      <c r="E59" s="352"/>
      <c r="F59" s="352"/>
      <c r="G59" s="352"/>
      <c r="H59" s="353"/>
      <c r="J59" s="42" t="s">
        <v>216</v>
      </c>
      <c r="K59" s="42">
        <v>500</v>
      </c>
    </row>
    <row r="60" spans="1:11" x14ac:dyDescent="0.2">
      <c r="C60" s="354" t="s">
        <v>179</v>
      </c>
      <c r="D60" s="355"/>
      <c r="E60" s="355"/>
      <c r="F60" s="355"/>
      <c r="G60" s="356"/>
      <c r="H60" s="52">
        <f>H51+H58</f>
        <v>24867.4467</v>
      </c>
    </row>
    <row r="61" spans="1:11" x14ac:dyDescent="0.2">
      <c r="C61" s="354" t="s">
        <v>219</v>
      </c>
      <c r="D61" s="355"/>
      <c r="E61" s="355"/>
      <c r="F61" s="355"/>
      <c r="G61" s="356"/>
      <c r="H61" s="89">
        <f>H60</f>
        <v>24867.4467</v>
      </c>
      <c r="J61" s="42" t="s">
        <v>427</v>
      </c>
      <c r="K61" s="42">
        <v>2</v>
      </c>
    </row>
    <row r="62" spans="1:11" x14ac:dyDescent="0.2">
      <c r="C62" s="357" t="s">
        <v>218</v>
      </c>
      <c r="D62" s="357"/>
      <c r="E62" s="357"/>
      <c r="F62" s="357"/>
      <c r="G62" s="102">
        <f>$K$51*$K$54</f>
        <v>288</v>
      </c>
      <c r="H62" s="89">
        <f>H61*G62</f>
        <v>7161824.6496000001</v>
      </c>
      <c r="J62" s="42" t="s">
        <v>428</v>
      </c>
      <c r="K62" s="42">
        <v>3</v>
      </c>
    </row>
    <row r="63" spans="1:11" x14ac:dyDescent="0.2">
      <c r="C63" s="76"/>
      <c r="D63" s="76"/>
      <c r="E63" s="76"/>
      <c r="F63" s="76"/>
      <c r="G63" s="76"/>
      <c r="H63" s="76"/>
      <c r="J63" s="42" t="s">
        <v>429</v>
      </c>
      <c r="K63" s="42">
        <v>2</v>
      </c>
    </row>
    <row r="64" spans="1:11" x14ac:dyDescent="0.2">
      <c r="C64" s="76"/>
      <c r="D64" s="76"/>
      <c r="E64" s="76"/>
      <c r="F64" s="76"/>
      <c r="G64" s="76"/>
      <c r="H64" s="76"/>
      <c r="J64" s="42" t="s">
        <v>430</v>
      </c>
      <c r="K64" s="103">
        <v>9000</v>
      </c>
    </row>
    <row r="65" spans="1:11" x14ac:dyDescent="0.2">
      <c r="A65" s="48" t="str">
        <f>OPEX!$A$9</f>
        <v>2.2</v>
      </c>
      <c r="B65" s="77"/>
      <c r="C65" s="349" t="str">
        <f>OPEX!$B$9</f>
        <v>Programa de Monitoramento da Qualidade da Água</v>
      </c>
      <c r="D65" s="350"/>
      <c r="E65" s="350"/>
      <c r="F65" s="350"/>
      <c r="G65" s="350"/>
      <c r="H65" s="38">
        <f>H88</f>
        <v>957109.76160000009</v>
      </c>
      <c r="J65" s="42" t="s">
        <v>914</v>
      </c>
      <c r="K65" s="42">
        <v>24</v>
      </c>
    </row>
    <row r="66" spans="1:11" x14ac:dyDescent="0.2">
      <c r="C66" s="45" t="s">
        <v>109</v>
      </c>
      <c r="D66" s="45" t="s">
        <v>28</v>
      </c>
      <c r="E66" s="45" t="s">
        <v>110</v>
      </c>
      <c r="F66" s="45" t="s">
        <v>111</v>
      </c>
      <c r="G66" s="45" t="s">
        <v>112</v>
      </c>
      <c r="H66" s="78" t="s">
        <v>113</v>
      </c>
    </row>
    <row r="67" spans="1:11" x14ac:dyDescent="0.2">
      <c r="C67" s="351" t="s">
        <v>115</v>
      </c>
      <c r="D67" s="352"/>
      <c r="E67" s="352"/>
      <c r="F67" s="352"/>
      <c r="G67" s="352"/>
      <c r="H67" s="353"/>
    </row>
    <row r="68" spans="1:11" x14ac:dyDescent="0.2">
      <c r="A68" s="88"/>
      <c r="B68" s="80" t="s">
        <v>120</v>
      </c>
      <c r="C68" s="81" t="s">
        <v>220</v>
      </c>
      <c r="D68" s="82">
        <v>1</v>
      </c>
      <c r="E68" s="82">
        <f>(ROUNDUP((($K$43/4)),0)*$K$8)/2</f>
        <v>4</v>
      </c>
      <c r="F68" s="82" t="s">
        <v>118</v>
      </c>
      <c r="G68" s="83">
        <f>INDEX('TPU MAR-24'!$D$9:$D$999,MATCH(B68,'TPU MAR-24'!$A$9:$A$999,0))</f>
        <v>254.39</v>
      </c>
      <c r="H68" s="83">
        <f t="shared" ref="H68:H69" si="5">D68*E68*G68</f>
        <v>1017.56</v>
      </c>
    </row>
    <row r="69" spans="1:11" x14ac:dyDescent="0.2">
      <c r="A69" s="88"/>
      <c r="B69" s="84" t="s">
        <v>140</v>
      </c>
      <c r="C69" s="81" t="s">
        <v>221</v>
      </c>
      <c r="D69" s="82">
        <v>1</v>
      </c>
      <c r="E69" s="82">
        <f>ROUNDUP((($K$43/4)),0)*$K$8</f>
        <v>8</v>
      </c>
      <c r="F69" s="82" t="s">
        <v>118</v>
      </c>
      <c r="G69" s="83">
        <f>INDEX('TPU MAR-24'!$D$9:$D$999,MATCH(B69,'TPU MAR-24'!$A$9:$A$999,0))</f>
        <v>213.54</v>
      </c>
      <c r="H69" s="83">
        <f t="shared" si="5"/>
        <v>1708.32</v>
      </c>
    </row>
    <row r="70" spans="1:11" x14ac:dyDescent="0.2">
      <c r="A70" s="88"/>
      <c r="B70" s="84" t="s">
        <v>143</v>
      </c>
      <c r="C70" s="81" t="s">
        <v>200</v>
      </c>
      <c r="D70" s="82">
        <v>1</v>
      </c>
      <c r="E70" s="82">
        <f>(ROUNDUP((($K$43/4)),0)*$K$8)/4</f>
        <v>2</v>
      </c>
      <c r="F70" s="82" t="s">
        <v>118</v>
      </c>
      <c r="G70" s="83">
        <f>INDEX('TPU MAR-24'!$D$9:$D$999,MATCH(B70,'TPU MAR-24'!$A$9:$A$999,0))</f>
        <v>94.41</v>
      </c>
      <c r="H70" s="83">
        <f>D70*E70*G70</f>
        <v>188.82</v>
      </c>
    </row>
    <row r="71" spans="1:11" x14ac:dyDescent="0.2">
      <c r="A71" s="88"/>
      <c r="B71" s="84" t="s">
        <v>146</v>
      </c>
      <c r="C71" s="81" t="s">
        <v>147</v>
      </c>
      <c r="D71" s="82">
        <v>1</v>
      </c>
      <c r="E71" s="82">
        <f>(ROUNDUP((($K$43/4)),0)*$K$8)/4</f>
        <v>2</v>
      </c>
      <c r="F71" s="82" t="s">
        <v>118</v>
      </c>
      <c r="G71" s="83">
        <f>INDEX('TPU MAR-24'!$D$9:$D$999,MATCH(B71,'TPU MAR-24'!$A$9:$A$999,0))</f>
        <v>46.06</v>
      </c>
      <c r="H71" s="83">
        <f t="shared" ref="H71" si="6">D71*E71*G71</f>
        <v>92.12</v>
      </c>
    </row>
    <row r="72" spans="1:11" x14ac:dyDescent="0.2">
      <c r="C72" s="86" t="s">
        <v>149</v>
      </c>
      <c r="D72" s="87"/>
      <c r="E72" s="82"/>
      <c r="F72" s="87"/>
      <c r="G72" s="87"/>
      <c r="H72" s="83"/>
    </row>
    <row r="73" spans="1:11" x14ac:dyDescent="0.2">
      <c r="A73" s="88"/>
      <c r="B73" s="84" t="s">
        <v>222</v>
      </c>
      <c r="C73" s="81" t="s">
        <v>223</v>
      </c>
      <c r="D73" s="82">
        <v>1</v>
      </c>
      <c r="E73" s="82">
        <f>ROUNDUP((($K$43/4)+$K$7),0)*$K$9</f>
        <v>20</v>
      </c>
      <c r="F73" s="82" t="s">
        <v>118</v>
      </c>
      <c r="G73" s="83">
        <f>INDEX('TPU MAR-24'!$D$9:$D$999,MATCH(B73,'TPU MAR-24'!$A$9:$A$999,0))</f>
        <v>41.65</v>
      </c>
      <c r="H73" s="83">
        <f>D73*E73*G73</f>
        <v>833</v>
      </c>
    </row>
    <row r="74" spans="1:11" x14ac:dyDescent="0.2">
      <c r="A74" s="88"/>
      <c r="B74" s="84" t="s">
        <v>204</v>
      </c>
      <c r="C74" s="81" t="s">
        <v>205</v>
      </c>
      <c r="D74" s="82">
        <v>1</v>
      </c>
      <c r="E74" s="82">
        <f>ROUNDUP((($K$43/4)),0)*$K$9</f>
        <v>10</v>
      </c>
      <c r="F74" s="82" t="s">
        <v>118</v>
      </c>
      <c r="G74" s="83">
        <f>INDEX('TPU MAR-24'!$D$9:$D$999,MATCH(B74,'TPU MAR-24'!$A$9:$A$999,0))</f>
        <v>24.14</v>
      </c>
      <c r="H74" s="83">
        <f>D74*E74*G74</f>
        <v>241.4</v>
      </c>
    </row>
    <row r="75" spans="1:11" x14ac:dyDescent="0.2">
      <c r="C75" s="354" t="s">
        <v>156</v>
      </c>
      <c r="D75" s="355"/>
      <c r="E75" s="355"/>
      <c r="F75" s="355"/>
      <c r="G75" s="356"/>
      <c r="H75" s="89">
        <f>SUM(H68:H74)</f>
        <v>4081.2200000000003</v>
      </c>
      <c r="I75" s="108"/>
    </row>
    <row r="76" spans="1:11" x14ac:dyDescent="0.2">
      <c r="C76" s="351" t="s">
        <v>158</v>
      </c>
      <c r="D76" s="352"/>
      <c r="E76" s="352"/>
      <c r="F76" s="352"/>
      <c r="G76" s="352"/>
      <c r="H76" s="353"/>
    </row>
    <row r="77" spans="1:11" x14ac:dyDescent="0.2">
      <c r="C77" s="81" t="s">
        <v>224</v>
      </c>
      <c r="D77" s="26">
        <f>D73</f>
        <v>1</v>
      </c>
      <c r="E77" s="82">
        <f>ROUNDUP((($K$43/4)+$K$7),0)</f>
        <v>2</v>
      </c>
      <c r="F77" s="82" t="s">
        <v>161</v>
      </c>
      <c r="G77" s="83">
        <f>'TPU MAR-24'!$C$52</f>
        <v>318.24</v>
      </c>
      <c r="H77" s="83">
        <f t="shared" ref="H77:H81" si="7">D77*E77*G77</f>
        <v>636.48</v>
      </c>
    </row>
    <row r="78" spans="1:11" x14ac:dyDescent="0.2">
      <c r="C78" s="81" t="s">
        <v>225</v>
      </c>
      <c r="D78" s="26">
        <f>D74</f>
        <v>1</v>
      </c>
      <c r="E78" s="82">
        <f>ROUNDUP((($K$43/4)),0)</f>
        <v>1</v>
      </c>
      <c r="F78" s="82" t="s">
        <v>161</v>
      </c>
      <c r="G78" s="83">
        <f>'TPU MAR-24'!$C$53</f>
        <v>159.12</v>
      </c>
      <c r="H78" s="83">
        <f t="shared" si="7"/>
        <v>159.12</v>
      </c>
    </row>
    <row r="79" spans="1:11" x14ac:dyDescent="0.2">
      <c r="C79" s="81" t="s">
        <v>226</v>
      </c>
      <c r="D79" s="26">
        <f>$K$45</f>
        <v>4</v>
      </c>
      <c r="E79" s="82">
        <v>1</v>
      </c>
      <c r="F79" s="82" t="s">
        <v>168</v>
      </c>
      <c r="G79" s="83">
        <f>$K$46</f>
        <v>3000</v>
      </c>
      <c r="H79" s="83">
        <f t="shared" si="7"/>
        <v>12000</v>
      </c>
    </row>
    <row r="80" spans="1:11" x14ac:dyDescent="0.2">
      <c r="C80" s="81" t="s">
        <v>227</v>
      </c>
      <c r="D80" s="26">
        <f>$K$45</f>
        <v>4</v>
      </c>
      <c r="E80" s="82">
        <v>1</v>
      </c>
      <c r="F80" s="82" t="s">
        <v>168</v>
      </c>
      <c r="G80" s="83">
        <f>$K$47</f>
        <v>200</v>
      </c>
      <c r="H80" s="83">
        <f t="shared" si="7"/>
        <v>800</v>
      </c>
    </row>
    <row r="81" spans="1:8" x14ac:dyDescent="0.2">
      <c r="C81" s="81" t="s">
        <v>167</v>
      </c>
      <c r="D81" s="16">
        <v>1</v>
      </c>
      <c r="E81" s="92">
        <v>1</v>
      </c>
      <c r="F81" s="92" t="s">
        <v>168</v>
      </c>
      <c r="G81" s="93">
        <v>1500</v>
      </c>
      <c r="H81" s="83">
        <f t="shared" si="7"/>
        <v>1500</v>
      </c>
    </row>
    <row r="82" spans="1:8" x14ac:dyDescent="0.2">
      <c r="C82" s="81" t="s">
        <v>228</v>
      </c>
      <c r="D82" s="26">
        <f>D73</f>
        <v>1</v>
      </c>
      <c r="E82" s="82">
        <f>ROUNDUP((($K$43/4)+$K$7),0)</f>
        <v>2</v>
      </c>
      <c r="F82" s="26" t="s">
        <v>161</v>
      </c>
      <c r="G82" s="95">
        <f>'TPU MAR-24'!$D$42</f>
        <v>193.64</v>
      </c>
      <c r="H82" s="83">
        <f>D82*E82*G82</f>
        <v>387.28</v>
      </c>
    </row>
    <row r="83" spans="1:8" x14ac:dyDescent="0.2">
      <c r="A83" s="104"/>
      <c r="B83" s="105"/>
      <c r="C83" s="81" t="s">
        <v>217</v>
      </c>
      <c r="D83" s="26">
        <f>D74</f>
        <v>1</v>
      </c>
      <c r="E83" s="96">
        <f>$K$2+$K$3</f>
        <v>291.23</v>
      </c>
      <c r="F83" s="26" t="s">
        <v>173</v>
      </c>
      <c r="G83" s="95">
        <f>'TPU MAR-24'!$D$40</f>
        <v>1.29</v>
      </c>
      <c r="H83" s="83">
        <f t="shared" ref="H83" si="8">D83*E83*G83</f>
        <v>375.68670000000003</v>
      </c>
    </row>
    <row r="84" spans="1:8" x14ac:dyDescent="0.2">
      <c r="C84" s="354" t="s">
        <v>175</v>
      </c>
      <c r="D84" s="355"/>
      <c r="E84" s="355"/>
      <c r="F84" s="355"/>
      <c r="G84" s="356"/>
      <c r="H84" s="97">
        <f>SUM(H77:H83)</f>
        <v>15858.566700000001</v>
      </c>
    </row>
    <row r="85" spans="1:8" ht="12.75" customHeight="1" x14ac:dyDescent="0.2">
      <c r="C85" s="351" t="s">
        <v>177</v>
      </c>
      <c r="D85" s="352"/>
      <c r="E85" s="352"/>
      <c r="F85" s="352"/>
      <c r="G85" s="352"/>
      <c r="H85" s="353"/>
    </row>
    <row r="86" spans="1:8" x14ac:dyDescent="0.2">
      <c r="C86" s="354" t="s">
        <v>179</v>
      </c>
      <c r="D86" s="355"/>
      <c r="E86" s="355"/>
      <c r="F86" s="355"/>
      <c r="G86" s="356"/>
      <c r="H86" s="52">
        <f>H75+H84</f>
        <v>19939.786700000001</v>
      </c>
    </row>
    <row r="87" spans="1:8" ht="12.75" customHeight="1" x14ac:dyDescent="0.2">
      <c r="C87" s="354" t="s">
        <v>219</v>
      </c>
      <c r="D87" s="355"/>
      <c r="E87" s="355"/>
      <c r="F87" s="355"/>
      <c r="G87" s="356"/>
      <c r="H87" s="89">
        <f>H86</f>
        <v>19939.786700000001</v>
      </c>
    </row>
    <row r="88" spans="1:8" x14ac:dyDescent="0.2">
      <c r="C88" s="357" t="s">
        <v>218</v>
      </c>
      <c r="D88" s="357"/>
      <c r="E88" s="357"/>
      <c r="F88" s="357"/>
      <c r="G88" s="102">
        <f>$K$53*$K$54</f>
        <v>48</v>
      </c>
      <c r="H88" s="89">
        <f>H87*G88</f>
        <v>957109.76160000009</v>
      </c>
    </row>
    <row r="89" spans="1:8" ht="12.75" customHeight="1" x14ac:dyDescent="0.2">
      <c r="C89" s="76"/>
      <c r="D89" s="76"/>
      <c r="E89" s="76"/>
      <c r="F89" s="76"/>
      <c r="G89" s="76"/>
      <c r="H89" s="76"/>
    </row>
    <row r="90" spans="1:8" ht="12.75" customHeight="1" x14ac:dyDescent="0.2">
      <c r="C90" s="76"/>
      <c r="D90" s="76"/>
      <c r="E90" s="76"/>
      <c r="F90" s="76"/>
      <c r="G90" s="76"/>
      <c r="H90" s="76"/>
    </row>
    <row r="91" spans="1:8" x14ac:dyDescent="0.2">
      <c r="A91" s="48" t="str">
        <f>OPEX!$A$10</f>
        <v>2.3</v>
      </c>
      <c r="B91" s="77"/>
      <c r="C91" s="349" t="str">
        <f>OPEX!$B$10</f>
        <v>Programa de Monitoramento de Ruído e Vibrações</v>
      </c>
      <c r="D91" s="350"/>
      <c r="E91" s="350"/>
      <c r="F91" s="350"/>
      <c r="G91" s="350"/>
      <c r="H91" s="38">
        <f>H113</f>
        <v>354685.76160000003</v>
      </c>
    </row>
    <row r="92" spans="1:8" x14ac:dyDescent="0.2">
      <c r="C92" s="45" t="s">
        <v>109</v>
      </c>
      <c r="D92" s="45" t="s">
        <v>28</v>
      </c>
      <c r="E92" s="45" t="s">
        <v>110</v>
      </c>
      <c r="F92" s="45" t="s">
        <v>111</v>
      </c>
      <c r="G92" s="45" t="s">
        <v>112</v>
      </c>
      <c r="H92" s="78" t="s">
        <v>113</v>
      </c>
    </row>
    <row r="93" spans="1:8" x14ac:dyDescent="0.2">
      <c r="C93" s="109" t="s">
        <v>190</v>
      </c>
      <c r="D93" s="110"/>
      <c r="E93" s="110"/>
      <c r="F93" s="110"/>
      <c r="G93" s="110"/>
      <c r="H93" s="111"/>
    </row>
    <row r="94" spans="1:8" x14ac:dyDescent="0.2">
      <c r="A94" s="112"/>
      <c r="B94" s="80" t="s">
        <v>123</v>
      </c>
      <c r="C94" s="81" t="s">
        <v>229</v>
      </c>
      <c r="D94" s="82">
        <v>1</v>
      </c>
      <c r="E94" s="82">
        <f>(($K$37/$K$39)*$K$8)/2</f>
        <v>2</v>
      </c>
      <c r="F94" s="82" t="s">
        <v>118</v>
      </c>
      <c r="G94" s="83">
        <f>INDEX('TPU MAR-24'!$D$9:$D$999,MATCH(B94,'TPU MAR-24'!$A$9:$A$999,0))</f>
        <v>268.08</v>
      </c>
      <c r="H94" s="83">
        <f>D94*E94*G94</f>
        <v>536.16</v>
      </c>
    </row>
    <row r="95" spans="1:8" x14ac:dyDescent="0.2">
      <c r="A95" s="88"/>
      <c r="B95" s="84" t="s">
        <v>140</v>
      </c>
      <c r="C95" s="81" t="s">
        <v>221</v>
      </c>
      <c r="D95" s="82">
        <v>1</v>
      </c>
      <c r="E95" s="82">
        <f>($K$37/$K$39)*$K$8</f>
        <v>4</v>
      </c>
      <c r="F95" s="82" t="s">
        <v>118</v>
      </c>
      <c r="G95" s="83">
        <f>INDEX('TPU MAR-24'!$D$9:$D$999,MATCH(B95,'TPU MAR-24'!$A$9:$A$999,0))</f>
        <v>213.54</v>
      </c>
      <c r="H95" s="83">
        <f t="shared" ref="H95:H97" si="9">D95*E95*G95</f>
        <v>854.16</v>
      </c>
    </row>
    <row r="96" spans="1:8" x14ac:dyDescent="0.2">
      <c r="A96" s="88"/>
      <c r="B96" s="84" t="s">
        <v>143</v>
      </c>
      <c r="C96" s="81" t="s">
        <v>200</v>
      </c>
      <c r="D96" s="82">
        <v>1</v>
      </c>
      <c r="E96" s="82">
        <f>$K$8/2</f>
        <v>4</v>
      </c>
      <c r="F96" s="82" t="s">
        <v>118</v>
      </c>
      <c r="G96" s="83">
        <f>INDEX('TPU MAR-24'!$D$9:$D$999,MATCH(B96,'TPU MAR-24'!$A$9:$A$999,0))</f>
        <v>94.41</v>
      </c>
      <c r="H96" s="83">
        <f t="shared" si="9"/>
        <v>377.64</v>
      </c>
    </row>
    <row r="97" spans="1:8" x14ac:dyDescent="0.2">
      <c r="A97" s="88"/>
      <c r="B97" s="84" t="s">
        <v>146</v>
      </c>
      <c r="C97" s="81" t="s">
        <v>147</v>
      </c>
      <c r="D97" s="82">
        <v>1</v>
      </c>
      <c r="E97" s="82">
        <f>$K$8/2</f>
        <v>4</v>
      </c>
      <c r="F97" s="82" t="s">
        <v>118</v>
      </c>
      <c r="G97" s="83">
        <f>INDEX('TPU MAR-24'!$D$9:$D$999,MATCH(B97,'TPU MAR-24'!$A$9:$A$999,0))</f>
        <v>46.06</v>
      </c>
      <c r="H97" s="83">
        <f t="shared" si="9"/>
        <v>184.24</v>
      </c>
    </row>
    <row r="98" spans="1:8" x14ac:dyDescent="0.2">
      <c r="C98" s="86" t="s">
        <v>149</v>
      </c>
      <c r="D98" s="113"/>
      <c r="E98" s="82"/>
      <c r="F98" s="114"/>
      <c r="G98" s="115"/>
      <c r="H98" s="83"/>
    </row>
    <row r="99" spans="1:8" x14ac:dyDescent="0.2">
      <c r="A99" s="88"/>
      <c r="B99" s="84" t="s">
        <v>140</v>
      </c>
      <c r="C99" s="81" t="s">
        <v>221</v>
      </c>
      <c r="D99" s="82">
        <v>1</v>
      </c>
      <c r="E99" s="82">
        <f>IF(AND(($K$37*$K$38)&lt;=10),1*$K$9,IF(AND(($K$37*$K$38)&gt;10),ROUNDUP(((($K$37*$K$38)/$K$9)+($K$7)),0)*$K$9))</f>
        <v>10</v>
      </c>
      <c r="F99" s="82" t="s">
        <v>118</v>
      </c>
      <c r="G99" s="83">
        <f>INDEX('TPU MAR-24'!$D$9:$D$999,MATCH(B99,'TPU MAR-24'!$A$9:$A$999,0))</f>
        <v>213.54</v>
      </c>
      <c r="H99" s="83">
        <f>D99*E99*G99</f>
        <v>2135.4</v>
      </c>
    </row>
    <row r="100" spans="1:8" x14ac:dyDescent="0.2">
      <c r="A100" s="88"/>
      <c r="B100" s="84" t="s">
        <v>153</v>
      </c>
      <c r="C100" s="81" t="s">
        <v>154</v>
      </c>
      <c r="D100" s="82">
        <v>1</v>
      </c>
      <c r="E100" s="82">
        <f>IF(AND(($K$37*$K$38)&lt;=10),1*$K$9,IF(AND(($K$37*$K$38)&gt;10),ROUNDUP(((($K$37*$K$38)/$K$9)),0)*$K$9))</f>
        <v>10</v>
      </c>
      <c r="F100" s="82" t="s">
        <v>118</v>
      </c>
      <c r="G100" s="83">
        <f>INDEX('TPU MAR-24'!$D$9:$D$999,MATCH(B100,'TPU MAR-24'!$A$9:$A$999,0))</f>
        <v>25.5</v>
      </c>
      <c r="H100" s="83">
        <f>D100*E100*G100</f>
        <v>255</v>
      </c>
    </row>
    <row r="101" spans="1:8" x14ac:dyDescent="0.2">
      <c r="C101" s="354" t="s">
        <v>156</v>
      </c>
      <c r="D101" s="355"/>
      <c r="E101" s="355"/>
      <c r="F101" s="355"/>
      <c r="G101" s="356"/>
      <c r="H101" s="89">
        <f>SUM(H94:H100)</f>
        <v>4342.6000000000004</v>
      </c>
    </row>
    <row r="102" spans="1:8" x14ac:dyDescent="0.2">
      <c r="C102" s="109" t="s">
        <v>158</v>
      </c>
      <c r="D102" s="110"/>
      <c r="E102" s="110"/>
      <c r="F102" s="110"/>
      <c r="G102" s="110"/>
      <c r="H102" s="111"/>
    </row>
    <row r="103" spans="1:8" x14ac:dyDescent="0.2">
      <c r="C103" s="81" t="s">
        <v>160</v>
      </c>
      <c r="D103" s="82">
        <f>D99</f>
        <v>1</v>
      </c>
      <c r="E103" s="82">
        <f>IF(AND(($K$37*$K$38)&lt;=10),1,IF(AND(($K$37*$K$38)&gt;10),ROUNDUP(((($K$37*$K$38)/$K$9)+($K$7)),0)))</f>
        <v>1</v>
      </c>
      <c r="F103" s="82" t="s">
        <v>161</v>
      </c>
      <c r="G103" s="83">
        <f>'TPU MAR-24'!$C$52</f>
        <v>318.24</v>
      </c>
      <c r="H103" s="83">
        <f>D103*E103*G103</f>
        <v>318.24</v>
      </c>
    </row>
    <row r="104" spans="1:8" x14ac:dyDescent="0.2">
      <c r="C104" s="81" t="s">
        <v>165</v>
      </c>
      <c r="D104" s="82">
        <f>D100</f>
        <v>1</v>
      </c>
      <c r="E104" s="82">
        <f>IF(AND(($K$37*$K$38)&lt;=10),1,IF(AND(($K$37*$K$38)&gt;10),ROUNDUP(((($K$37*$K$38)/$K$9)),0)))</f>
        <v>1</v>
      </c>
      <c r="F104" s="82" t="s">
        <v>161</v>
      </c>
      <c r="G104" s="83">
        <f>'TPU MAR-24'!$C$53</f>
        <v>159.12</v>
      </c>
      <c r="H104" s="83">
        <f t="shared" ref="H104" si="10">D104*E104*G104</f>
        <v>159.12</v>
      </c>
    </row>
    <row r="105" spans="1:8" x14ac:dyDescent="0.2">
      <c r="C105" s="81" t="s">
        <v>230</v>
      </c>
      <c r="D105" s="26">
        <v>1</v>
      </c>
      <c r="E105" s="82">
        <f>IF(AND(($K$37*$K$38)&lt;=10),1,IF(AND(($K$37*$K$38)&gt;10),ROUNDUP(((($K$37*$K$38)/$K$9)+($K$7)),0)))</f>
        <v>1</v>
      </c>
      <c r="F105" s="82" t="s">
        <v>161</v>
      </c>
      <c r="G105" s="83">
        <f>$K$40</f>
        <v>500</v>
      </c>
      <c r="H105" s="83">
        <f>D105*E105*G105</f>
        <v>500</v>
      </c>
    </row>
    <row r="106" spans="1:8" x14ac:dyDescent="0.2">
      <c r="C106" s="81" t="s">
        <v>167</v>
      </c>
      <c r="D106" s="16">
        <v>1</v>
      </c>
      <c r="E106" s="92">
        <v>1</v>
      </c>
      <c r="F106" s="92" t="s">
        <v>168</v>
      </c>
      <c r="G106" s="93">
        <v>1500</v>
      </c>
      <c r="H106" s="83">
        <f>D106*E106*G106</f>
        <v>1500</v>
      </c>
    </row>
    <row r="107" spans="1:8" x14ac:dyDescent="0.2">
      <c r="C107" s="81" t="s">
        <v>170</v>
      </c>
      <c r="D107" s="26">
        <f>D100</f>
        <v>1</v>
      </c>
      <c r="E107" s="82">
        <f>IF(AND(($K$37*$K$38)&lt;=10),1,IF(AND(($K$37*$K$38)&gt;10),ROUNDUP(((($K$37*$K$38)/$K$9)+($K$7)),0)))</f>
        <v>1</v>
      </c>
      <c r="F107" s="26" t="s">
        <v>161</v>
      </c>
      <c r="G107" s="95">
        <f>'TPU MAR-24'!$D$42</f>
        <v>193.64</v>
      </c>
      <c r="H107" s="83">
        <f t="shared" ref="H107:H108" si="11">D107*E107*G107</f>
        <v>193.64</v>
      </c>
    </row>
    <row r="108" spans="1:8" x14ac:dyDescent="0.2">
      <c r="A108" s="104"/>
      <c r="B108" s="105"/>
      <c r="C108" s="81" t="s">
        <v>217</v>
      </c>
      <c r="D108" s="26">
        <f>D100</f>
        <v>1</v>
      </c>
      <c r="E108" s="96">
        <f>$K$2+$K$3</f>
        <v>291.23</v>
      </c>
      <c r="F108" s="26" t="s">
        <v>173</v>
      </c>
      <c r="G108" s="95">
        <f>'TPU MAR-24'!$D$40</f>
        <v>1.29</v>
      </c>
      <c r="H108" s="83">
        <f t="shared" si="11"/>
        <v>375.68670000000003</v>
      </c>
    </row>
    <row r="109" spans="1:8" x14ac:dyDescent="0.2">
      <c r="C109" s="354" t="s">
        <v>175</v>
      </c>
      <c r="D109" s="355"/>
      <c r="E109" s="355"/>
      <c r="F109" s="355"/>
      <c r="G109" s="356"/>
      <c r="H109" s="97">
        <f>SUM(H103:H108)</f>
        <v>3046.6867000000002</v>
      </c>
    </row>
    <row r="110" spans="1:8" x14ac:dyDescent="0.2">
      <c r="C110" s="109" t="s">
        <v>177</v>
      </c>
      <c r="D110" s="110"/>
      <c r="E110" s="110"/>
      <c r="F110" s="110"/>
      <c r="G110" s="110"/>
      <c r="H110" s="111"/>
    </row>
    <row r="111" spans="1:8" x14ac:dyDescent="0.2">
      <c r="C111" s="354" t="s">
        <v>179</v>
      </c>
      <c r="D111" s="355"/>
      <c r="E111" s="355"/>
      <c r="F111" s="355"/>
      <c r="G111" s="356"/>
      <c r="H111" s="52">
        <f>H101+H109</f>
        <v>7389.2867000000006</v>
      </c>
    </row>
    <row r="112" spans="1:8" x14ac:dyDescent="0.2">
      <c r="C112" s="354" t="s">
        <v>219</v>
      </c>
      <c r="D112" s="355"/>
      <c r="E112" s="355"/>
      <c r="F112" s="355"/>
      <c r="G112" s="356"/>
      <c r="H112" s="89">
        <f>H111</f>
        <v>7389.2867000000006</v>
      </c>
    </row>
    <row r="113" spans="1:8" x14ac:dyDescent="0.2">
      <c r="C113" s="357" t="s">
        <v>218</v>
      </c>
      <c r="D113" s="357"/>
      <c r="E113" s="357"/>
      <c r="F113" s="357"/>
      <c r="G113" s="102">
        <f>$K$53*$K$54</f>
        <v>48</v>
      </c>
      <c r="H113" s="89">
        <f>H112*G113</f>
        <v>354685.76160000003</v>
      </c>
    </row>
    <row r="114" spans="1:8" x14ac:dyDescent="0.2">
      <c r="C114" s="76"/>
      <c r="D114" s="76"/>
      <c r="E114" s="76"/>
      <c r="F114" s="76"/>
      <c r="G114" s="76"/>
      <c r="H114" s="76"/>
    </row>
    <row r="115" spans="1:8" x14ac:dyDescent="0.2">
      <c r="C115" s="76"/>
      <c r="D115" s="76"/>
      <c r="E115" s="76"/>
      <c r="F115" s="76"/>
      <c r="G115" s="76"/>
      <c r="H115" s="76"/>
    </row>
    <row r="116" spans="1:8" x14ac:dyDescent="0.2">
      <c r="A116" s="48" t="str">
        <f>OPEX!$A$11</f>
        <v>2.4</v>
      </c>
      <c r="B116" s="77"/>
      <c r="C116" s="349" t="str">
        <f>OPEX!$B$11</f>
        <v>Programa de Monitoramento da Qualidade do Ar</v>
      </c>
      <c r="D116" s="350"/>
      <c r="E116" s="350"/>
      <c r="F116" s="350"/>
      <c r="G116" s="350"/>
      <c r="H116" s="145">
        <f>H136</f>
        <v>2075642.4</v>
      </c>
    </row>
    <row r="117" spans="1:8" x14ac:dyDescent="0.2">
      <c r="C117" s="45" t="s">
        <v>109</v>
      </c>
      <c r="D117" s="45" t="s">
        <v>28</v>
      </c>
      <c r="E117" s="45" t="s">
        <v>110</v>
      </c>
      <c r="F117" s="45" t="s">
        <v>111</v>
      </c>
      <c r="G117" s="45" t="s">
        <v>112</v>
      </c>
      <c r="H117" s="78" t="s">
        <v>113</v>
      </c>
    </row>
    <row r="118" spans="1:8" x14ac:dyDescent="0.2">
      <c r="C118" s="351" t="s">
        <v>190</v>
      </c>
      <c r="D118" s="352"/>
      <c r="E118" s="352"/>
      <c r="F118" s="352"/>
      <c r="G118" s="352"/>
      <c r="H118" s="353"/>
    </row>
    <row r="119" spans="1:8" x14ac:dyDescent="0.2">
      <c r="A119" s="112"/>
      <c r="B119" s="80" t="s">
        <v>123</v>
      </c>
      <c r="C119" s="81" t="s">
        <v>229</v>
      </c>
      <c r="D119" s="82">
        <v>1</v>
      </c>
      <c r="E119" s="82">
        <v>8</v>
      </c>
      <c r="F119" s="82" t="s">
        <v>118</v>
      </c>
      <c r="G119" s="83">
        <f>INDEX('TPU MAR-24'!$D$9:$D$999,MATCH(B119,'TPU MAR-24'!$A$9:$A$999,0))</f>
        <v>268.08</v>
      </c>
      <c r="H119" s="83">
        <f>D119*E119*G119</f>
        <v>2144.64</v>
      </c>
    </row>
    <row r="120" spans="1:8" x14ac:dyDescent="0.2">
      <c r="A120" s="88"/>
      <c r="B120" s="84" t="s">
        <v>140</v>
      </c>
      <c r="C120" s="81" t="s">
        <v>221</v>
      </c>
      <c r="D120" s="82">
        <v>1</v>
      </c>
      <c r="E120" s="82">
        <f>$K$61*$K$63*$K$8</f>
        <v>32</v>
      </c>
      <c r="F120" s="82" t="s">
        <v>118</v>
      </c>
      <c r="G120" s="83">
        <f>INDEX('TPU MAR-24'!$D$9:$D$999,MATCH(B120,'TPU MAR-24'!$A$9:$A$999,0))</f>
        <v>213.54</v>
      </c>
      <c r="H120" s="83">
        <f t="shared" ref="H120:H122" si="12">D120*E120*G120</f>
        <v>6833.28</v>
      </c>
    </row>
    <row r="121" spans="1:8" x14ac:dyDescent="0.2">
      <c r="A121" s="88"/>
      <c r="B121" s="84" t="s">
        <v>143</v>
      </c>
      <c r="C121" s="81" t="s">
        <v>200</v>
      </c>
      <c r="D121" s="82">
        <v>1</v>
      </c>
      <c r="E121" s="82">
        <f>($K$61*$K$63*$K$8)/4</f>
        <v>8</v>
      </c>
      <c r="F121" s="82" t="s">
        <v>118</v>
      </c>
      <c r="G121" s="83">
        <f>INDEX('TPU MAR-24'!$D$9:$D$999,MATCH(B121,'TPU MAR-24'!$A$9:$A$999,0))</f>
        <v>94.41</v>
      </c>
      <c r="H121" s="83">
        <f t="shared" si="12"/>
        <v>755.28</v>
      </c>
    </row>
    <row r="122" spans="1:8" x14ac:dyDescent="0.2">
      <c r="A122" s="88"/>
      <c r="B122" s="84" t="s">
        <v>146</v>
      </c>
      <c r="C122" s="81" t="s">
        <v>147</v>
      </c>
      <c r="D122" s="82">
        <v>1</v>
      </c>
      <c r="E122" s="82">
        <v>2</v>
      </c>
      <c r="F122" s="82" t="s">
        <v>118</v>
      </c>
      <c r="G122" s="83">
        <f>INDEX('TPU MAR-24'!$D$9:$D$999,MATCH(B122,'TPU MAR-24'!$A$9:$A$999,0))</f>
        <v>46.06</v>
      </c>
      <c r="H122" s="83">
        <f t="shared" si="12"/>
        <v>92.12</v>
      </c>
    </row>
    <row r="123" spans="1:8" x14ac:dyDescent="0.2">
      <c r="C123" s="351" t="s">
        <v>149</v>
      </c>
      <c r="D123" s="352"/>
      <c r="E123" s="352"/>
      <c r="F123" s="352"/>
      <c r="G123" s="352"/>
      <c r="H123" s="353"/>
    </row>
    <row r="124" spans="1:8" x14ac:dyDescent="0.2">
      <c r="A124" s="88"/>
      <c r="B124" s="84" t="s">
        <v>222</v>
      </c>
      <c r="C124" s="81" t="s">
        <v>435</v>
      </c>
      <c r="D124" s="82">
        <v>1</v>
      </c>
      <c r="E124" s="82">
        <f>($K$61*$K$62*$K$9)+($K$7*$K$9)</f>
        <v>70</v>
      </c>
      <c r="F124" s="82" t="s">
        <v>118</v>
      </c>
      <c r="G124" s="83">
        <f>INDEX('TPU MAR-24'!$D$9:$D$999,MATCH(B124,'TPU MAR-24'!$A$9:$A$999,0))</f>
        <v>41.65</v>
      </c>
      <c r="H124" s="83">
        <f>D124*E124*G124</f>
        <v>2915.5</v>
      </c>
    </row>
    <row r="125" spans="1:8" x14ac:dyDescent="0.2">
      <c r="A125" s="88"/>
      <c r="B125" s="84" t="s">
        <v>204</v>
      </c>
      <c r="C125" s="81" t="s">
        <v>205</v>
      </c>
      <c r="D125" s="82">
        <v>3</v>
      </c>
      <c r="E125" s="82">
        <f>($K$61*$K$62*$K$9)</f>
        <v>60</v>
      </c>
      <c r="F125" s="82" t="s">
        <v>118</v>
      </c>
      <c r="G125" s="83">
        <f>INDEX('TPU MAR-24'!$D$9:$D$999,MATCH(B125,'TPU MAR-24'!$A$9:$A$999,0))</f>
        <v>24.14</v>
      </c>
      <c r="H125" s="83">
        <f>D125*E125*G125</f>
        <v>4345.2</v>
      </c>
    </row>
    <row r="126" spans="1:8" x14ac:dyDescent="0.2">
      <c r="C126" s="354" t="s">
        <v>179</v>
      </c>
      <c r="D126" s="355"/>
      <c r="E126" s="355"/>
      <c r="F126" s="355"/>
      <c r="G126" s="356"/>
      <c r="H126" s="89">
        <f>SUM(H119:H125)</f>
        <v>17086.02</v>
      </c>
    </row>
    <row r="127" spans="1:8" x14ac:dyDescent="0.2">
      <c r="C127" s="351" t="s">
        <v>158</v>
      </c>
      <c r="D127" s="352"/>
      <c r="E127" s="352"/>
      <c r="F127" s="352"/>
      <c r="G127" s="352"/>
      <c r="H127" s="353"/>
    </row>
    <row r="128" spans="1:8" x14ac:dyDescent="0.2">
      <c r="C128" s="81" t="s">
        <v>440</v>
      </c>
      <c r="D128" s="82">
        <f>$D$69</f>
        <v>1</v>
      </c>
      <c r="E128" s="82">
        <f>($K$61*$K$62)+($K$7)</f>
        <v>7</v>
      </c>
      <c r="F128" s="82" t="s">
        <v>161</v>
      </c>
      <c r="G128" s="83">
        <f>'TPU MAR-24'!$C$52</f>
        <v>318.24</v>
      </c>
      <c r="H128" s="83">
        <f>D128*E128*G128</f>
        <v>2227.6800000000003</v>
      </c>
    </row>
    <row r="129" spans="1:8" x14ac:dyDescent="0.2">
      <c r="C129" s="81" t="s">
        <v>211</v>
      </c>
      <c r="D129" s="82">
        <f>$D$70</f>
        <v>1</v>
      </c>
      <c r="E129" s="82">
        <f>($K$61*$K$62)</f>
        <v>6</v>
      </c>
      <c r="F129" s="82" t="s">
        <v>161</v>
      </c>
      <c r="G129" s="83">
        <f>'TPU MAR-24'!$C$53</f>
        <v>159.12</v>
      </c>
      <c r="H129" s="83">
        <f t="shared" ref="H129" si="13">D129*E129*G129</f>
        <v>954.72</v>
      </c>
    </row>
    <row r="130" spans="1:8" x14ac:dyDescent="0.2">
      <c r="C130" s="81" t="s">
        <v>442</v>
      </c>
      <c r="D130" s="26">
        <v>1</v>
      </c>
      <c r="E130" s="82">
        <f>($K$61*$K$62)+($K$7)</f>
        <v>7</v>
      </c>
      <c r="F130" s="82" t="s">
        <v>161</v>
      </c>
      <c r="G130" s="83">
        <f>$K$64</f>
        <v>9000</v>
      </c>
      <c r="H130" s="83">
        <f>D130*E130*G130</f>
        <v>63000</v>
      </c>
    </row>
    <row r="131" spans="1:8" x14ac:dyDescent="0.2">
      <c r="C131" s="81" t="s">
        <v>167</v>
      </c>
      <c r="D131" s="26">
        <v>1</v>
      </c>
      <c r="E131" s="82">
        <v>1</v>
      </c>
      <c r="F131" s="82" t="s">
        <v>168</v>
      </c>
      <c r="G131" s="93">
        <v>1500</v>
      </c>
      <c r="H131" s="83">
        <f>D131*E131*G131</f>
        <v>1500</v>
      </c>
    </row>
    <row r="132" spans="1:8" x14ac:dyDescent="0.2">
      <c r="C132" s="81" t="s">
        <v>170</v>
      </c>
      <c r="D132" s="26">
        <f>$D$69</f>
        <v>1</v>
      </c>
      <c r="E132" s="82">
        <f>($K$61*$K$62)+($K$7)</f>
        <v>7</v>
      </c>
      <c r="F132" s="26" t="s">
        <v>161</v>
      </c>
      <c r="G132" s="95">
        <f>'TPU MAR-24'!$D$42</f>
        <v>193.64</v>
      </c>
      <c r="H132" s="83">
        <f t="shared" ref="H132:H133" si="14">D132*E132*G132</f>
        <v>1355.48</v>
      </c>
    </row>
    <row r="133" spans="1:8" x14ac:dyDescent="0.2">
      <c r="C133" s="81" t="s">
        <v>401</v>
      </c>
      <c r="D133" s="26">
        <f>D124</f>
        <v>1</v>
      </c>
      <c r="E133" s="151">
        <f>$K$3</f>
        <v>280</v>
      </c>
      <c r="F133" s="26" t="s">
        <v>173</v>
      </c>
      <c r="G133" s="95">
        <f>'TPU MAR-24'!$D$40</f>
        <v>1.29</v>
      </c>
      <c r="H133" s="83">
        <f t="shared" si="14"/>
        <v>361.2</v>
      </c>
    </row>
    <row r="134" spans="1:8" x14ac:dyDescent="0.2">
      <c r="C134" s="354" t="s">
        <v>179</v>
      </c>
      <c r="D134" s="355"/>
      <c r="E134" s="355"/>
      <c r="F134" s="355"/>
      <c r="G134" s="356"/>
      <c r="H134" s="97">
        <f>SUM(H128:H133)</f>
        <v>69399.079999999987</v>
      </c>
    </row>
    <row r="135" spans="1:8" x14ac:dyDescent="0.2">
      <c r="C135" s="354" t="s">
        <v>219</v>
      </c>
      <c r="D135" s="355"/>
      <c r="E135" s="355"/>
      <c r="F135" s="355"/>
      <c r="G135" s="356"/>
      <c r="H135" s="89">
        <f>H126+H134</f>
        <v>86485.099999999991</v>
      </c>
    </row>
    <row r="136" spans="1:8" x14ac:dyDescent="0.2">
      <c r="C136" s="357" t="s">
        <v>267</v>
      </c>
      <c r="D136" s="357"/>
      <c r="E136" s="357"/>
      <c r="F136" s="357"/>
      <c r="G136" s="102">
        <f>$K$65</f>
        <v>24</v>
      </c>
      <c r="H136" s="89">
        <f>H135*G136</f>
        <v>2075642.4</v>
      </c>
    </row>
    <row r="137" spans="1:8" x14ac:dyDescent="0.2">
      <c r="C137" s="76"/>
      <c r="D137" s="76"/>
      <c r="E137" s="76"/>
      <c r="F137" s="76"/>
      <c r="G137" s="76"/>
      <c r="H137" s="76"/>
    </row>
    <row r="138" spans="1:8" x14ac:dyDescent="0.2">
      <c r="C138" s="76"/>
      <c r="D138" s="76"/>
      <c r="E138" s="76"/>
      <c r="F138" s="76"/>
      <c r="G138" s="76"/>
      <c r="H138" s="76"/>
    </row>
    <row r="139" spans="1:8" x14ac:dyDescent="0.2">
      <c r="A139" s="48" t="str">
        <f>OPEX!$A$12</f>
        <v>2.5</v>
      </c>
      <c r="B139" s="77"/>
      <c r="C139" s="349" t="str">
        <f>OPEX!$B$12</f>
        <v>Programa de Controle da Fauna Doméstica e Sinantrópica</v>
      </c>
      <c r="D139" s="350"/>
      <c r="E139" s="350"/>
      <c r="F139" s="350"/>
      <c r="G139" s="350"/>
      <c r="H139" s="38">
        <f>H142</f>
        <v>1440000</v>
      </c>
    </row>
    <row r="140" spans="1:8" x14ac:dyDescent="0.2">
      <c r="C140" s="81" t="s">
        <v>1047</v>
      </c>
      <c r="D140" s="82">
        <f>IF(AND($K$2&gt;0,$K$2&lt;=200),(1),IF(AND($K$2&gt;200,$K$2&lt;=400),(2),IF(AND($K$2&gt;400,$K$2&lt;=600),(3),IF(AND($K$2&gt;600,$K$2&lt;=800),(4),IF(AND($K$2&gt;800,$K$2&lt;=1000),(5),IF(AND($K$2&gt;1000),6))))))</f>
        <v>1</v>
      </c>
      <c r="E140" s="82">
        <v>1</v>
      </c>
      <c r="F140" s="82" t="s">
        <v>168</v>
      </c>
      <c r="G140" s="83">
        <f>$K$19</f>
        <v>5000</v>
      </c>
      <c r="H140" s="83">
        <f>D140*E140*G140</f>
        <v>5000</v>
      </c>
    </row>
    <row r="141" spans="1:8" x14ac:dyDescent="0.2">
      <c r="C141" s="354" t="s">
        <v>480</v>
      </c>
      <c r="D141" s="355"/>
      <c r="E141" s="355"/>
      <c r="F141" s="355"/>
      <c r="G141" s="356"/>
      <c r="H141" s="119">
        <f>H140</f>
        <v>5000</v>
      </c>
    </row>
    <row r="142" spans="1:8" x14ac:dyDescent="0.2">
      <c r="C142" s="357" t="s">
        <v>218</v>
      </c>
      <c r="D142" s="357"/>
      <c r="E142" s="357"/>
      <c r="F142" s="357"/>
      <c r="G142" s="102">
        <f>$K$51*($K$54)</f>
        <v>288</v>
      </c>
      <c r="H142" s="89">
        <f>H141*G142</f>
        <v>1440000</v>
      </c>
    </row>
    <row r="143" spans="1:8" x14ac:dyDescent="0.2">
      <c r="C143" s="116"/>
      <c r="D143" s="116"/>
      <c r="E143" s="116"/>
      <c r="F143" s="116"/>
      <c r="G143" s="116"/>
      <c r="H143" s="117"/>
    </row>
    <row r="144" spans="1:8" x14ac:dyDescent="0.2">
      <c r="C144" s="116"/>
      <c r="D144" s="116"/>
      <c r="E144" s="116"/>
      <c r="F144" s="116"/>
      <c r="G144" s="116"/>
      <c r="H144" s="121"/>
    </row>
    <row r="145" spans="1:8" x14ac:dyDescent="0.2">
      <c r="A145" s="48" t="str">
        <f>OPEX!$A$13</f>
        <v>2.6</v>
      </c>
      <c r="B145" s="77"/>
      <c r="C145" s="349" t="str">
        <f>OPEX!$B$13</f>
        <v>Programa de Comunicação Social</v>
      </c>
      <c r="D145" s="350"/>
      <c r="E145" s="350"/>
      <c r="F145" s="350"/>
      <c r="G145" s="350"/>
      <c r="H145" s="38">
        <f>H170</f>
        <v>1151853.4416</v>
      </c>
    </row>
    <row r="146" spans="1:8" x14ac:dyDescent="0.2">
      <c r="C146" s="45" t="s">
        <v>109</v>
      </c>
      <c r="D146" s="45" t="s">
        <v>28</v>
      </c>
      <c r="E146" s="45" t="s">
        <v>110</v>
      </c>
      <c r="F146" s="45" t="s">
        <v>111</v>
      </c>
      <c r="G146" s="45" t="s">
        <v>112</v>
      </c>
      <c r="H146" s="78" t="s">
        <v>113</v>
      </c>
    </row>
    <row r="147" spans="1:8" x14ac:dyDescent="0.2">
      <c r="C147" s="351" t="s">
        <v>115</v>
      </c>
      <c r="D147" s="352"/>
      <c r="E147" s="352"/>
      <c r="F147" s="352"/>
      <c r="G147" s="352"/>
      <c r="H147" s="353"/>
    </row>
    <row r="148" spans="1:8" x14ac:dyDescent="0.2">
      <c r="A148" s="112"/>
      <c r="B148" s="80" t="s">
        <v>128</v>
      </c>
      <c r="C148" s="81" t="s">
        <v>239</v>
      </c>
      <c r="D148" s="82">
        <v>1</v>
      </c>
      <c r="E148" s="82">
        <f>($K$23*$K$25*$K$8)/2</f>
        <v>8</v>
      </c>
      <c r="F148" s="82" t="s">
        <v>118</v>
      </c>
      <c r="G148" s="83">
        <f>INDEX('TPU MAR-24'!$D$9:$D$999,MATCH(B148,'TPU MAR-24'!$A$9:$A$999,0))</f>
        <v>263.36</v>
      </c>
      <c r="H148" s="83">
        <f t="shared" ref="H148:H152" si="15">D148*E148*G148</f>
        <v>2106.88</v>
      </c>
    </row>
    <row r="149" spans="1:8" x14ac:dyDescent="0.2">
      <c r="A149" s="112"/>
      <c r="B149" s="84" t="s">
        <v>137</v>
      </c>
      <c r="C149" s="81" t="s">
        <v>240</v>
      </c>
      <c r="D149" s="82">
        <v>1</v>
      </c>
      <c r="E149" s="82">
        <f>($K$23*$K$25*$K$8)</f>
        <v>16</v>
      </c>
      <c r="F149" s="82" t="s">
        <v>118</v>
      </c>
      <c r="G149" s="83">
        <f>INDEX('TPU MAR-24'!$D$9:$D$999,MATCH(B149,'TPU MAR-24'!$A$9:$A$999,0))</f>
        <v>208.51</v>
      </c>
      <c r="H149" s="83">
        <f t="shared" si="15"/>
        <v>3336.16</v>
      </c>
    </row>
    <row r="150" spans="1:8" x14ac:dyDescent="0.2">
      <c r="A150" s="112"/>
      <c r="B150" s="80" t="str">
        <f>'TPU MAR-24'!$A$17</f>
        <v>35.03.72</v>
      </c>
      <c r="C150" s="81" t="s">
        <v>241</v>
      </c>
      <c r="D150" s="82">
        <v>1</v>
      </c>
      <c r="E150" s="82">
        <f>($K$23*$K$25*$K$8)</f>
        <v>16</v>
      </c>
      <c r="F150" s="82" t="s">
        <v>118</v>
      </c>
      <c r="G150" s="83">
        <f>INDEX('TPU MAR-24'!$D$9:$D$999,MATCH(B150,'TPU MAR-24'!$A$9:$A$999,0))</f>
        <v>81.7</v>
      </c>
      <c r="H150" s="83">
        <f t="shared" si="15"/>
        <v>1307.2</v>
      </c>
    </row>
    <row r="151" spans="1:8" x14ac:dyDescent="0.2">
      <c r="A151" s="88"/>
      <c r="B151" s="84" t="s">
        <v>143</v>
      </c>
      <c r="C151" s="81" t="s">
        <v>200</v>
      </c>
      <c r="D151" s="82">
        <v>1</v>
      </c>
      <c r="E151" s="82">
        <f>($K$23*$K$25*$K$8)/4</f>
        <v>4</v>
      </c>
      <c r="F151" s="82" t="s">
        <v>118</v>
      </c>
      <c r="G151" s="83">
        <f>INDEX('TPU MAR-24'!$D$9:$D$999,MATCH(B151,'TPU MAR-24'!$A$9:$A$999,0))</f>
        <v>94.41</v>
      </c>
      <c r="H151" s="83">
        <f t="shared" si="15"/>
        <v>377.64</v>
      </c>
    </row>
    <row r="152" spans="1:8" x14ac:dyDescent="0.2">
      <c r="A152" s="88"/>
      <c r="B152" s="84" t="s">
        <v>146</v>
      </c>
      <c r="C152" s="81" t="s">
        <v>147</v>
      </c>
      <c r="D152" s="82">
        <v>1</v>
      </c>
      <c r="E152" s="82">
        <f>($K$23*$K$25*$K$8)/2</f>
        <v>8</v>
      </c>
      <c r="F152" s="82" t="s">
        <v>118</v>
      </c>
      <c r="G152" s="83">
        <f>INDEX('TPU MAR-24'!$D$9:$D$999,MATCH(B152,'TPU MAR-24'!$A$9:$A$999,0))</f>
        <v>46.06</v>
      </c>
      <c r="H152" s="83">
        <f t="shared" si="15"/>
        <v>368.48</v>
      </c>
    </row>
    <row r="153" spans="1:8" x14ac:dyDescent="0.2">
      <c r="C153" s="86" t="s">
        <v>149</v>
      </c>
      <c r="D153" s="87"/>
      <c r="E153" s="82"/>
      <c r="F153" s="87"/>
      <c r="G153" s="87"/>
      <c r="H153" s="83"/>
    </row>
    <row r="154" spans="1:8" x14ac:dyDescent="0.2">
      <c r="A154" s="112"/>
      <c r="B154" s="84" t="s">
        <v>137</v>
      </c>
      <c r="C154" s="81" t="s">
        <v>240</v>
      </c>
      <c r="D154" s="82">
        <v>1</v>
      </c>
      <c r="E154" s="82">
        <f>($K$23*$K$24*$K$9)+($K$7*$K$9)</f>
        <v>30</v>
      </c>
      <c r="F154" s="82" t="s">
        <v>118</v>
      </c>
      <c r="G154" s="83">
        <f>INDEX('TPU MAR-24'!$D$9:$D$999,MATCH(B154,'TPU MAR-24'!$A$9:$A$999,0))</f>
        <v>208.51</v>
      </c>
      <c r="H154" s="83">
        <f>D154*E154*G154</f>
        <v>6255.2999999999993</v>
      </c>
    </row>
    <row r="155" spans="1:8" x14ac:dyDescent="0.2">
      <c r="A155" s="112"/>
      <c r="B155" s="80" t="str">
        <f>'TPU MAR-24'!$A$17</f>
        <v>35.03.72</v>
      </c>
      <c r="C155" s="81" t="s">
        <v>241</v>
      </c>
      <c r="D155" s="82">
        <v>1</v>
      </c>
      <c r="E155" s="82">
        <f>($K$23*$K$24*$K$9)+($K$7*$K$9)</f>
        <v>30</v>
      </c>
      <c r="F155" s="82" t="s">
        <v>118</v>
      </c>
      <c r="G155" s="83">
        <f>INDEX('TPU MAR-24'!$D$9:$D$999,MATCH(B155,'TPU MAR-24'!$A$9:$A$999,0))</f>
        <v>81.7</v>
      </c>
      <c r="H155" s="83">
        <f t="shared" ref="H155:H156" si="16">D155*E155*G155</f>
        <v>2451</v>
      </c>
    </row>
    <row r="156" spans="1:8" x14ac:dyDescent="0.2">
      <c r="A156" s="88"/>
      <c r="B156" s="84" t="s">
        <v>153</v>
      </c>
      <c r="C156" s="81" t="s">
        <v>154</v>
      </c>
      <c r="D156" s="26">
        <v>1</v>
      </c>
      <c r="E156" s="82">
        <f>($K$23*$K$24*$K$9)</f>
        <v>20</v>
      </c>
      <c r="F156" s="82" t="s">
        <v>118</v>
      </c>
      <c r="G156" s="83">
        <f>INDEX('TPU MAR-24'!$D$9:$D$999,MATCH(B156,'TPU MAR-24'!$A$9:$A$999,0))</f>
        <v>25.5</v>
      </c>
      <c r="H156" s="83">
        <f t="shared" si="16"/>
        <v>510</v>
      </c>
    </row>
    <row r="157" spans="1:8" x14ac:dyDescent="0.2">
      <c r="C157" s="354" t="s">
        <v>156</v>
      </c>
      <c r="D157" s="355"/>
      <c r="E157" s="355"/>
      <c r="F157" s="355"/>
      <c r="G157" s="356"/>
      <c r="H157" s="89">
        <f>SUM(H148:H156)</f>
        <v>16712.66</v>
      </c>
    </row>
    <row r="158" spans="1:8" x14ac:dyDescent="0.2">
      <c r="C158" s="351" t="s">
        <v>158</v>
      </c>
      <c r="D158" s="352"/>
      <c r="E158" s="352"/>
      <c r="F158" s="352"/>
      <c r="G158" s="352"/>
      <c r="H158" s="353"/>
    </row>
    <row r="159" spans="1:8" x14ac:dyDescent="0.2">
      <c r="C159" s="81" t="s">
        <v>242</v>
      </c>
      <c r="D159" s="82">
        <f>$D$154</f>
        <v>1</v>
      </c>
      <c r="E159" s="82">
        <f>($K$23*$K$24)+($K$7)</f>
        <v>3</v>
      </c>
      <c r="F159" s="82" t="s">
        <v>161</v>
      </c>
      <c r="G159" s="83">
        <f>'TPU MAR-24'!$C$52</f>
        <v>318.24</v>
      </c>
      <c r="H159" s="83">
        <f t="shared" ref="H159:H163" si="17">D159*E159*G159</f>
        <v>954.72</v>
      </c>
    </row>
    <row r="160" spans="1:8" x14ac:dyDescent="0.2">
      <c r="C160" s="81" t="s">
        <v>243</v>
      </c>
      <c r="D160" s="82">
        <f>$D$155</f>
        <v>1</v>
      </c>
      <c r="E160" s="82">
        <f>($K$23*$K$24)+($K$7)</f>
        <v>3</v>
      </c>
      <c r="F160" s="82" t="s">
        <v>161</v>
      </c>
      <c r="G160" s="83">
        <f>'TPU MAR-24'!$C$52</f>
        <v>318.24</v>
      </c>
      <c r="H160" s="83">
        <f t="shared" si="17"/>
        <v>954.72</v>
      </c>
    </row>
    <row r="161" spans="1:8" x14ac:dyDescent="0.2">
      <c r="C161" s="81" t="s">
        <v>244</v>
      </c>
      <c r="D161" s="82">
        <f>$D$156</f>
        <v>1</v>
      </c>
      <c r="E161" s="82">
        <f>($K$23*$K$24)</f>
        <v>2</v>
      </c>
      <c r="F161" s="82" t="s">
        <v>161</v>
      </c>
      <c r="G161" s="83">
        <f>'TPU MAR-24'!$C$53</f>
        <v>159.12</v>
      </c>
      <c r="H161" s="83">
        <f t="shared" si="17"/>
        <v>318.24</v>
      </c>
    </row>
    <row r="162" spans="1:8" x14ac:dyDescent="0.2">
      <c r="C162" s="81" t="s">
        <v>245</v>
      </c>
      <c r="D162" s="26">
        <f>$K$23</f>
        <v>2</v>
      </c>
      <c r="E162" s="82">
        <v>1</v>
      </c>
      <c r="F162" s="82" t="s">
        <v>168</v>
      </c>
      <c r="G162" s="83">
        <f>$K$32</f>
        <v>1300</v>
      </c>
      <c r="H162" s="83">
        <f t="shared" si="17"/>
        <v>2600</v>
      </c>
    </row>
    <row r="163" spans="1:8" x14ac:dyDescent="0.2">
      <c r="C163" s="81" t="s">
        <v>167</v>
      </c>
      <c r="D163" s="16">
        <v>1</v>
      </c>
      <c r="E163" s="92">
        <v>1</v>
      </c>
      <c r="F163" s="92" t="s">
        <v>168</v>
      </c>
      <c r="G163" s="93">
        <v>1500</v>
      </c>
      <c r="H163" s="83">
        <f t="shared" si="17"/>
        <v>1500</v>
      </c>
    </row>
    <row r="164" spans="1:8" x14ac:dyDescent="0.2">
      <c r="C164" s="81" t="s">
        <v>170</v>
      </c>
      <c r="D164" s="26">
        <f>$D$154</f>
        <v>1</v>
      </c>
      <c r="E164" s="82">
        <f>($K$23*$K$24)+($K$7)</f>
        <v>3</v>
      </c>
      <c r="F164" s="26" t="s">
        <v>161</v>
      </c>
      <c r="G164" s="95">
        <f>'TPU MAR-24'!$D$42</f>
        <v>193.64</v>
      </c>
      <c r="H164" s="83">
        <f>D164*E164*G164</f>
        <v>580.91999999999996</v>
      </c>
    </row>
    <row r="165" spans="1:8" x14ac:dyDescent="0.2">
      <c r="A165" s="104"/>
      <c r="B165" s="105"/>
      <c r="C165" s="81" t="s">
        <v>217</v>
      </c>
      <c r="D165" s="26">
        <f>D156</f>
        <v>1</v>
      </c>
      <c r="E165" s="96">
        <f>$K$2+$K$3</f>
        <v>291.23</v>
      </c>
      <c r="F165" s="26" t="s">
        <v>173</v>
      </c>
      <c r="G165" s="95">
        <f>'TPU MAR-24'!$D$40</f>
        <v>1.29</v>
      </c>
      <c r="H165" s="83">
        <f t="shared" ref="H165" si="18">D165*E165*G165</f>
        <v>375.68670000000003</v>
      </c>
    </row>
    <row r="166" spans="1:8" x14ac:dyDescent="0.2">
      <c r="C166" s="354" t="s">
        <v>175</v>
      </c>
      <c r="D166" s="355"/>
      <c r="E166" s="355"/>
      <c r="F166" s="355"/>
      <c r="G166" s="356"/>
      <c r="H166" s="97">
        <f>SUM(H159:H165)</f>
        <v>7284.2867000000006</v>
      </c>
    </row>
    <row r="167" spans="1:8" x14ac:dyDescent="0.2">
      <c r="C167" s="351" t="s">
        <v>177</v>
      </c>
      <c r="D167" s="352"/>
      <c r="E167" s="352"/>
      <c r="F167" s="352"/>
      <c r="G167" s="352"/>
      <c r="H167" s="353"/>
    </row>
    <row r="168" spans="1:8" x14ac:dyDescent="0.2">
      <c r="C168" s="354" t="s">
        <v>179</v>
      </c>
      <c r="D168" s="355"/>
      <c r="E168" s="355"/>
      <c r="F168" s="355"/>
      <c r="G168" s="356"/>
      <c r="H168" s="52">
        <f>H157+H166</f>
        <v>23996.9467</v>
      </c>
    </row>
    <row r="169" spans="1:8" x14ac:dyDescent="0.2">
      <c r="C169" s="354" t="s">
        <v>219</v>
      </c>
      <c r="D169" s="355"/>
      <c r="E169" s="355"/>
      <c r="F169" s="355"/>
      <c r="G169" s="356"/>
      <c r="H169" s="89">
        <f>H168</f>
        <v>23996.9467</v>
      </c>
    </row>
    <row r="170" spans="1:8" x14ac:dyDescent="0.2">
      <c r="C170" s="357" t="s">
        <v>218</v>
      </c>
      <c r="D170" s="357"/>
      <c r="E170" s="357"/>
      <c r="F170" s="357"/>
      <c r="G170" s="102">
        <f>$K$53*$K$54</f>
        <v>48</v>
      </c>
      <c r="H170" s="89">
        <f>H169*G170</f>
        <v>1151853.4416</v>
      </c>
    </row>
    <row r="171" spans="1:8" x14ac:dyDescent="0.2">
      <c r="C171" s="116"/>
      <c r="D171" s="116"/>
      <c r="E171" s="116"/>
      <c r="F171" s="116"/>
      <c r="G171" s="122"/>
      <c r="H171" s="117"/>
    </row>
    <row r="172" spans="1:8" x14ac:dyDescent="0.2">
      <c r="C172" s="123"/>
      <c r="D172" s="123"/>
      <c r="E172" s="123"/>
      <c r="F172" s="123"/>
      <c r="G172" s="123"/>
    </row>
    <row r="173" spans="1:8" x14ac:dyDescent="0.2">
      <c r="C173" s="116"/>
      <c r="D173" s="116"/>
      <c r="E173" s="116"/>
      <c r="F173" s="116"/>
      <c r="G173" s="116"/>
      <c r="H173" s="117"/>
    </row>
  </sheetData>
  <mergeCells count="57">
    <mergeCell ref="C169:G169"/>
    <mergeCell ref="C170:F170"/>
    <mergeCell ref="C36:F36"/>
    <mergeCell ref="C31:G31"/>
    <mergeCell ref="C32:H32"/>
    <mergeCell ref="C33:G33"/>
    <mergeCell ref="C34:F34"/>
    <mergeCell ref="C35:G35"/>
    <mergeCell ref="C168:G168"/>
    <mergeCell ref="C145:G145"/>
    <mergeCell ref="C147:H147"/>
    <mergeCell ref="C157:G157"/>
    <mergeCell ref="C158:H158"/>
    <mergeCell ref="C166:G166"/>
    <mergeCell ref="C167:H167"/>
    <mergeCell ref="C134:G134"/>
    <mergeCell ref="C135:G135"/>
    <mergeCell ref="C136:F136"/>
    <mergeCell ref="C141:G141"/>
    <mergeCell ref="C142:F142"/>
    <mergeCell ref="C139:G139"/>
    <mergeCell ref="C116:G116"/>
    <mergeCell ref="C118:H118"/>
    <mergeCell ref="C123:H123"/>
    <mergeCell ref="C126:G126"/>
    <mergeCell ref="C127:H127"/>
    <mergeCell ref="C112:G112"/>
    <mergeCell ref="C113:F113"/>
    <mergeCell ref="C87:G87"/>
    <mergeCell ref="C88:F88"/>
    <mergeCell ref="C91:G91"/>
    <mergeCell ref="C101:G101"/>
    <mergeCell ref="C109:G109"/>
    <mergeCell ref="C111:G111"/>
    <mergeCell ref="C61:G61"/>
    <mergeCell ref="C60:G60"/>
    <mergeCell ref="C41:G41"/>
    <mergeCell ref="C43:H43"/>
    <mergeCell ref="C51:G51"/>
    <mergeCell ref="C52:H52"/>
    <mergeCell ref="C58:G58"/>
    <mergeCell ref="C59:H59"/>
    <mergeCell ref="C85:H85"/>
    <mergeCell ref="C86:G86"/>
    <mergeCell ref="C62:F62"/>
    <mergeCell ref="C65:G65"/>
    <mergeCell ref="C67:H67"/>
    <mergeCell ref="C75:G75"/>
    <mergeCell ref="C76:H76"/>
    <mergeCell ref="C84:G84"/>
    <mergeCell ref="B39:H39"/>
    <mergeCell ref="A1:H1"/>
    <mergeCell ref="C4:G4"/>
    <mergeCell ref="C6:H6"/>
    <mergeCell ref="C23:G23"/>
    <mergeCell ref="C24:H24"/>
    <mergeCell ref="B2:H2"/>
  </mergeCells>
  <pageMargins left="0.511811024" right="0.511811024" top="0.78740157499999996" bottom="0.78740157499999996" header="0.31496062000000002" footer="0.31496062000000002"/>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01780A-2D82-4B16-8A18-71F61326D603}">
  <dimension ref="A1:K289"/>
  <sheetViews>
    <sheetView topLeftCell="B1" zoomScaleNormal="100" workbookViewId="0">
      <selection activeCell="J6" sqref="J6"/>
    </sheetView>
  </sheetViews>
  <sheetFormatPr defaultColWidth="25.7109375" defaultRowHeight="12" x14ac:dyDescent="0.2"/>
  <cols>
    <col min="1" max="1" width="5.85546875" style="8" customWidth="1"/>
    <col min="2" max="2" width="8.5703125" style="100" customWidth="1"/>
    <col min="3" max="3" width="71.140625" style="8" customWidth="1"/>
    <col min="4" max="4" width="9.5703125" style="8" customWidth="1"/>
    <col min="5" max="5" width="17" style="8" customWidth="1"/>
    <col min="6" max="6" width="13.5703125" style="8" customWidth="1"/>
    <col min="7" max="7" width="20.5703125" style="8" customWidth="1"/>
    <col min="8" max="8" width="27.42578125" style="8" customWidth="1"/>
    <col min="9" max="9" width="14.5703125" style="8" customWidth="1"/>
    <col min="10" max="10" width="54.85546875" style="8" customWidth="1"/>
    <col min="11" max="11" width="10.140625" style="8" customWidth="1"/>
    <col min="12" max="16384" width="25.7109375" style="8"/>
  </cols>
  <sheetData>
    <row r="1" spans="1:11" x14ac:dyDescent="0.2">
      <c r="A1" s="348" t="s">
        <v>828</v>
      </c>
      <c r="B1" s="348"/>
      <c r="C1" s="348"/>
      <c r="D1" s="348"/>
      <c r="E1" s="348"/>
      <c r="F1" s="348"/>
      <c r="G1" s="348"/>
      <c r="H1" s="348"/>
      <c r="J1" s="118"/>
      <c r="K1" s="118"/>
    </row>
    <row r="2" spans="1:11" x14ac:dyDescent="0.2">
      <c r="B2" s="80"/>
      <c r="C2" s="125"/>
      <c r="D2" s="123"/>
      <c r="E2" s="123"/>
      <c r="F2" s="123"/>
      <c r="G2" s="123"/>
      <c r="H2" s="123"/>
    </row>
    <row r="3" spans="1:11" x14ac:dyDescent="0.2">
      <c r="A3" s="126" t="str">
        <f>CAPEX!$A$5</f>
        <v>1.1</v>
      </c>
      <c r="B3" s="135"/>
      <c r="C3" s="349" t="str">
        <f>CAPEX!$B$5</f>
        <v>Requerimento de Licença de Instalação das Obras do Túnel Imerso</v>
      </c>
      <c r="D3" s="350"/>
      <c r="E3" s="350"/>
      <c r="F3" s="350"/>
      <c r="G3" s="350"/>
      <c r="H3" s="38">
        <f>H55</f>
        <v>488604.76</v>
      </c>
      <c r="J3" s="73" t="s">
        <v>104</v>
      </c>
      <c r="K3" s="73" t="s">
        <v>105</v>
      </c>
    </row>
    <row r="4" spans="1:11" ht="12.75" customHeight="1" x14ac:dyDescent="0.2">
      <c r="B4" s="80"/>
      <c r="C4" s="128" t="s">
        <v>109</v>
      </c>
      <c r="D4" s="45" t="s">
        <v>28</v>
      </c>
      <c r="E4" s="45" t="s">
        <v>110</v>
      </c>
      <c r="F4" s="45" t="s">
        <v>111</v>
      </c>
      <c r="G4" s="45" t="s">
        <v>112</v>
      </c>
      <c r="H4" s="78" t="s">
        <v>113</v>
      </c>
      <c r="J4" s="42" t="s">
        <v>272</v>
      </c>
      <c r="K4" s="42">
        <v>8</v>
      </c>
    </row>
    <row r="5" spans="1:11" x14ac:dyDescent="0.2">
      <c r="B5" s="80"/>
      <c r="C5" s="361" t="s">
        <v>190</v>
      </c>
      <c r="D5" s="361"/>
      <c r="E5" s="361"/>
      <c r="F5" s="361"/>
      <c r="G5" s="361"/>
      <c r="H5" s="361"/>
      <c r="J5" s="42" t="s">
        <v>252</v>
      </c>
      <c r="K5" s="42">
        <v>476.10200000000003</v>
      </c>
    </row>
    <row r="6" spans="1:11" x14ac:dyDescent="0.2">
      <c r="B6" s="80" t="s">
        <v>116</v>
      </c>
      <c r="C6" s="81" t="s">
        <v>117</v>
      </c>
      <c r="D6" s="82">
        <f t="shared" ref="D6:D13" si="0">IF($K$4=0,0,IF($K$4&lt;50,1,IF(AND($K$4&gt;50,$K$4&lt;100),1,IF(AND($K$4&gt;100,$K$4&lt;200),1,IF($K$4&gt;200,1)))))</f>
        <v>1</v>
      </c>
      <c r="E6" s="82">
        <f>5*4*(8/4)*(5/2)</f>
        <v>100</v>
      </c>
      <c r="F6" s="82" t="s">
        <v>118</v>
      </c>
      <c r="G6" s="83">
        <f>INDEX('TPU MAR-24'!$D$9:$D$999,MATCH(B6,'TPU MAR-24'!$A$9:$A$999,0))</f>
        <v>391.54</v>
      </c>
      <c r="H6" s="83">
        <f>D6*E6*G6</f>
        <v>39154</v>
      </c>
      <c r="J6" s="42" t="s">
        <v>833</v>
      </c>
      <c r="K6" s="42">
        <f>2*140</f>
        <v>280</v>
      </c>
    </row>
    <row r="7" spans="1:11" x14ac:dyDescent="0.2">
      <c r="B7" s="80" t="s">
        <v>120</v>
      </c>
      <c r="C7" s="81" t="s">
        <v>253</v>
      </c>
      <c r="D7" s="82">
        <f t="shared" si="0"/>
        <v>1</v>
      </c>
      <c r="E7" s="82">
        <v>32</v>
      </c>
      <c r="F7" s="82" t="s">
        <v>118</v>
      </c>
      <c r="G7" s="83">
        <f>INDEX('TPU MAR-24'!$D$9:$D$999,MATCH(B7,'TPU MAR-24'!$A$9:$A$999,0))</f>
        <v>254.39</v>
      </c>
      <c r="H7" s="83">
        <f t="shared" ref="H7:H14" si="1">D7*E7*G7</f>
        <v>8140.48</v>
      </c>
    </row>
    <row r="8" spans="1:11" x14ac:dyDescent="0.2">
      <c r="B8" s="80" t="s">
        <v>123</v>
      </c>
      <c r="C8" s="81" t="s">
        <v>193</v>
      </c>
      <c r="D8" s="82">
        <f t="shared" si="0"/>
        <v>1</v>
      </c>
      <c r="E8" s="82">
        <v>32</v>
      </c>
      <c r="F8" s="82" t="s">
        <v>118</v>
      </c>
      <c r="G8" s="83">
        <f>INDEX('TPU MAR-24'!$D$9:$D$999,MATCH(B8,'TPU MAR-24'!$A$9:$A$999,0))</f>
        <v>268.08</v>
      </c>
      <c r="H8" s="83">
        <f t="shared" si="1"/>
        <v>8578.56</v>
      </c>
      <c r="J8" s="42" t="s">
        <v>268</v>
      </c>
      <c r="K8" s="107">
        <f>2.16+0.38</f>
        <v>2.54</v>
      </c>
    </row>
    <row r="9" spans="1:11" x14ac:dyDescent="0.2">
      <c r="B9" s="80" t="s">
        <v>123</v>
      </c>
      <c r="C9" s="81" t="s">
        <v>254</v>
      </c>
      <c r="D9" s="82">
        <f t="shared" si="0"/>
        <v>1</v>
      </c>
      <c r="E9" s="82">
        <v>40</v>
      </c>
      <c r="F9" s="82" t="s">
        <v>118</v>
      </c>
      <c r="G9" s="83">
        <f>INDEX('TPU MAR-24'!$D$9:$D$999,MATCH(B9,'TPU MAR-24'!$A$9:$A$999,0))</f>
        <v>268.08</v>
      </c>
      <c r="H9" s="83">
        <f t="shared" si="1"/>
        <v>10723.199999999999</v>
      </c>
      <c r="J9" s="297" t="s">
        <v>836</v>
      </c>
      <c r="K9" s="107">
        <v>352</v>
      </c>
    </row>
    <row r="10" spans="1:11" x14ac:dyDescent="0.2">
      <c r="B10" s="80" t="s">
        <v>128</v>
      </c>
      <c r="C10" s="81" t="s">
        <v>255</v>
      </c>
      <c r="D10" s="82">
        <f t="shared" si="0"/>
        <v>1</v>
      </c>
      <c r="E10" s="82">
        <v>32</v>
      </c>
      <c r="F10" s="82" t="s">
        <v>118</v>
      </c>
      <c r="G10" s="83">
        <f>INDEX('TPU MAR-24'!$D$9:$D$999,MATCH(B10,'TPU MAR-24'!$A$9:$A$999,0))</f>
        <v>263.36</v>
      </c>
      <c r="H10" s="83">
        <f t="shared" si="1"/>
        <v>8427.52</v>
      </c>
      <c r="J10" s="297" t="s">
        <v>834</v>
      </c>
      <c r="K10" s="107">
        <v>150</v>
      </c>
    </row>
    <row r="11" spans="1:11" x14ac:dyDescent="0.2">
      <c r="B11" s="80" t="s">
        <v>123</v>
      </c>
      <c r="C11" s="81" t="s">
        <v>256</v>
      </c>
      <c r="D11" s="82">
        <f t="shared" si="0"/>
        <v>1</v>
      </c>
      <c r="E11" s="82">
        <v>40</v>
      </c>
      <c r="F11" s="82" t="s">
        <v>118</v>
      </c>
      <c r="G11" s="83">
        <f>INDEX('TPU MAR-24'!$D$9:$D$999,MATCH(B11,'TPU MAR-24'!$A$9:$A$999,0))</f>
        <v>268.08</v>
      </c>
      <c r="H11" s="83">
        <f t="shared" si="1"/>
        <v>10723.199999999999</v>
      </c>
      <c r="J11" s="297" t="s">
        <v>835</v>
      </c>
      <c r="K11" s="107">
        <f>ROUNDUP(K9/K10,0)</f>
        <v>3</v>
      </c>
    </row>
    <row r="12" spans="1:11" x14ac:dyDescent="0.2">
      <c r="B12" s="84" t="s">
        <v>131</v>
      </c>
      <c r="C12" s="81" t="s">
        <v>257</v>
      </c>
      <c r="D12" s="82">
        <f t="shared" si="0"/>
        <v>1</v>
      </c>
      <c r="E12" s="82">
        <v>32</v>
      </c>
      <c r="F12" s="82" t="s">
        <v>118</v>
      </c>
      <c r="G12" s="83">
        <f>INDEX('TPU MAR-24'!$D$9:$D$999,MATCH(B12,'TPU MAR-24'!$A$9:$A$999,0))</f>
        <v>220.66</v>
      </c>
      <c r="H12" s="83">
        <f t="shared" si="1"/>
        <v>7061.12</v>
      </c>
      <c r="J12" s="42" t="s">
        <v>269</v>
      </c>
      <c r="K12" s="42">
        <v>540</v>
      </c>
    </row>
    <row r="13" spans="1:11" x14ac:dyDescent="0.2">
      <c r="B13" s="84" t="s">
        <v>133</v>
      </c>
      <c r="C13" s="81" t="s">
        <v>195</v>
      </c>
      <c r="D13" s="82">
        <f t="shared" si="0"/>
        <v>1</v>
      </c>
      <c r="E13" s="82">
        <v>32</v>
      </c>
      <c r="F13" s="82" t="s">
        <v>118</v>
      </c>
      <c r="G13" s="83">
        <f>INDEX('TPU MAR-24'!$D$9:$D$999,MATCH(B13,'TPU MAR-24'!$A$9:$A$999,0))</f>
        <v>189.39</v>
      </c>
      <c r="H13" s="83">
        <f t="shared" si="1"/>
        <v>6060.48</v>
      </c>
      <c r="J13" s="42" t="s">
        <v>270</v>
      </c>
      <c r="K13" s="42">
        <v>540</v>
      </c>
    </row>
    <row r="14" spans="1:11" x14ac:dyDescent="0.2">
      <c r="B14" s="84" t="s">
        <v>133</v>
      </c>
      <c r="C14" s="81" t="s">
        <v>258</v>
      </c>
      <c r="D14" s="82">
        <f>IF($K$4=0,3,IF($K$4&lt;50,3,IF(AND($K$4&gt;50,$K$4&lt;100),3,IF(AND($K$4&gt;100,$K$4&lt;200),3,IF($K$4&gt;200,3)))))</f>
        <v>3</v>
      </c>
      <c r="E14" s="82">
        <v>40</v>
      </c>
      <c r="F14" s="82" t="s">
        <v>118</v>
      </c>
      <c r="G14" s="83">
        <f>INDEX('TPU MAR-24'!$D$9:$D$999,MATCH(B14,'TPU MAR-24'!$A$9:$A$999,0))</f>
        <v>189.39</v>
      </c>
      <c r="H14" s="83">
        <f t="shared" si="1"/>
        <v>22726.799999999999</v>
      </c>
    </row>
    <row r="15" spans="1:11" x14ac:dyDescent="0.2">
      <c r="B15" s="84" t="s">
        <v>133</v>
      </c>
      <c r="C15" s="81" t="s">
        <v>274</v>
      </c>
      <c r="D15" s="82">
        <v>1</v>
      </c>
      <c r="E15" s="82">
        <v>40</v>
      </c>
      <c r="F15" s="82" t="s">
        <v>118</v>
      </c>
      <c r="G15" s="83">
        <f>INDEX('TPU MAR-24'!$D$9:$D$999,MATCH(B15,'TPU MAR-24'!$A$9:$A$999,0))</f>
        <v>189.39</v>
      </c>
      <c r="H15" s="83">
        <f t="shared" ref="H15:H20" si="2">D15*E15*G15</f>
        <v>7575.5999999999995</v>
      </c>
      <c r="J15" s="42" t="s">
        <v>122</v>
      </c>
      <c r="K15" s="42">
        <v>8</v>
      </c>
    </row>
    <row r="16" spans="1:11" x14ac:dyDescent="0.2">
      <c r="B16" s="84" t="s">
        <v>137</v>
      </c>
      <c r="C16" s="81" t="s">
        <v>259</v>
      </c>
      <c r="D16" s="82">
        <f>IF($K$4=0,2,IF($K$4&lt;50,2,IF(AND($K$4&gt;50,$K$4&lt;100),2,IF(AND($K$4&gt;100,$K$4&lt;200),2,IF($K$4&gt;200,2)))))</f>
        <v>2</v>
      </c>
      <c r="E16" s="82">
        <v>32</v>
      </c>
      <c r="F16" s="82" t="s">
        <v>118</v>
      </c>
      <c r="G16" s="83">
        <f>INDEX('TPU MAR-24'!$D$9:$D$999,MATCH(B16,'TPU MAR-24'!$A$9:$A$999,0))</f>
        <v>208.51</v>
      </c>
      <c r="H16" s="83">
        <f t="shared" si="2"/>
        <v>13344.64</v>
      </c>
      <c r="J16" s="42" t="s">
        <v>125</v>
      </c>
      <c r="K16" s="42">
        <v>10</v>
      </c>
    </row>
    <row r="17" spans="1:11" x14ac:dyDescent="0.2">
      <c r="B17" s="84" t="s">
        <v>140</v>
      </c>
      <c r="C17" s="81" t="s">
        <v>221</v>
      </c>
      <c r="D17" s="82">
        <f>IF($K$4=0,2,IF($K$4&lt;50,2,IF(AND($K$4&gt;50,$K$4&lt;100),2,IF(AND($K$4&gt;100,$K$4&lt;200),2,IF($K$4&gt;200,2)))))</f>
        <v>2</v>
      </c>
      <c r="E17" s="82">
        <v>40</v>
      </c>
      <c r="F17" s="82" t="s">
        <v>118</v>
      </c>
      <c r="G17" s="83">
        <f>INDEX('TPU MAR-24'!$D$9:$D$999,MATCH(B17,'TPU MAR-24'!$A$9:$A$999,0))</f>
        <v>213.54</v>
      </c>
      <c r="H17" s="83">
        <f t="shared" si="2"/>
        <v>17083.2</v>
      </c>
      <c r="J17" s="42" t="s">
        <v>127</v>
      </c>
      <c r="K17" s="42">
        <v>5</v>
      </c>
    </row>
    <row r="18" spans="1:11" x14ac:dyDescent="0.2">
      <c r="B18" s="84" t="s">
        <v>140</v>
      </c>
      <c r="C18" s="81" t="s">
        <v>842</v>
      </c>
      <c r="D18" s="82">
        <v>1</v>
      </c>
      <c r="E18" s="82">
        <f>$K$72*$K$15</f>
        <v>40</v>
      </c>
      <c r="F18" s="82" t="s">
        <v>118</v>
      </c>
      <c r="G18" s="83">
        <f>INDEX('TPU MAR-24'!$D$9:$D$999,MATCH(B18,'TPU MAR-24'!$A$9:$A$999,0))</f>
        <v>213.54</v>
      </c>
      <c r="H18" s="83">
        <f t="shared" si="2"/>
        <v>8541.6</v>
      </c>
      <c r="J18" s="42" t="s">
        <v>130</v>
      </c>
      <c r="K18" s="42">
        <v>4</v>
      </c>
    </row>
    <row r="19" spans="1:11" x14ac:dyDescent="0.2">
      <c r="B19" s="84" t="s">
        <v>143</v>
      </c>
      <c r="C19" s="81" t="s">
        <v>200</v>
      </c>
      <c r="D19" s="82">
        <f>IF($K$4=0,0,IF($K$4&lt;50,1,IF(AND($K$4&gt;50,$K$4&lt;100),1,IF(AND($K$4&gt;100,$K$4&lt;200),1,IF($K$4&gt;200,1)))))</f>
        <v>1</v>
      </c>
      <c r="E19" s="82">
        <v>80</v>
      </c>
      <c r="F19" s="82" t="s">
        <v>118</v>
      </c>
      <c r="G19" s="83">
        <f>INDEX('TPU MAR-24'!$D$9:$D$999,MATCH(B19,'TPU MAR-24'!$A$9:$A$999,0))</f>
        <v>94.41</v>
      </c>
      <c r="H19" s="83">
        <f t="shared" si="2"/>
        <v>7552.7999999999993</v>
      </c>
      <c r="J19" s="42" t="s">
        <v>119</v>
      </c>
      <c r="K19" s="42">
        <v>1</v>
      </c>
    </row>
    <row r="20" spans="1:11" x14ac:dyDescent="0.2">
      <c r="B20" s="84" t="s">
        <v>146</v>
      </c>
      <c r="C20" s="81" t="s">
        <v>147</v>
      </c>
      <c r="D20" s="82">
        <f>IF($K$4=0,0,IF($K$4&lt;50,1,IF(AND($K$4&gt;50,$K$4&lt;100),1,IF(AND($K$4&gt;100,$K$4&lt;200),1,IF($K$4&gt;200,1)))))</f>
        <v>1</v>
      </c>
      <c r="E20" s="82">
        <v>16</v>
      </c>
      <c r="F20" s="82" t="s">
        <v>118</v>
      </c>
      <c r="G20" s="83">
        <f>INDEX('TPU MAR-24'!$D$9:$D$999,MATCH(B20,'TPU MAR-24'!$A$9:$A$999,0))</f>
        <v>46.06</v>
      </c>
      <c r="H20" s="83">
        <f t="shared" si="2"/>
        <v>736.96</v>
      </c>
    </row>
    <row r="21" spans="1:11" x14ac:dyDescent="0.2">
      <c r="A21" s="132"/>
      <c r="B21" s="133"/>
      <c r="C21" s="351" t="s">
        <v>149</v>
      </c>
      <c r="D21" s="352"/>
      <c r="E21" s="352"/>
      <c r="F21" s="352"/>
      <c r="G21" s="352"/>
      <c r="H21" s="353"/>
      <c r="J21" s="42" t="s">
        <v>135</v>
      </c>
      <c r="K21" s="42">
        <v>12</v>
      </c>
    </row>
    <row r="22" spans="1:11" x14ac:dyDescent="0.2">
      <c r="A22" s="112"/>
      <c r="B22" s="80" t="s">
        <v>116</v>
      </c>
      <c r="C22" s="81" t="s">
        <v>117</v>
      </c>
      <c r="D22" s="82">
        <v>1</v>
      </c>
      <c r="E22" s="82">
        <v>10</v>
      </c>
      <c r="F22" s="82" t="s">
        <v>118</v>
      </c>
      <c r="G22" s="83">
        <f>INDEX('TPU MAR-24'!$D$9:$D$999,MATCH(B22,'TPU MAR-24'!$A$9:$A$999,0))</f>
        <v>391.54</v>
      </c>
      <c r="H22" s="83">
        <f>D22*E22*G22</f>
        <v>3915.4</v>
      </c>
    </row>
    <row r="23" spans="1:11" x14ac:dyDescent="0.2">
      <c r="A23" s="112"/>
      <c r="B23" s="84" t="s">
        <v>153</v>
      </c>
      <c r="C23" s="81" t="s">
        <v>154</v>
      </c>
      <c r="D23" s="82">
        <v>1</v>
      </c>
      <c r="E23" s="82">
        <v>10</v>
      </c>
      <c r="F23" s="82" t="s">
        <v>118</v>
      </c>
      <c r="G23" s="83">
        <f>INDEX('TPU MAR-24'!$D$9:$D$999,MATCH(B23,'TPU MAR-24'!$A$9:$A$999,0))</f>
        <v>25.5</v>
      </c>
      <c r="H23" s="83">
        <f>D23*E23*G23</f>
        <v>255</v>
      </c>
      <c r="J23" s="42" t="s">
        <v>275</v>
      </c>
      <c r="K23" s="103">
        <v>50</v>
      </c>
    </row>
    <row r="24" spans="1:11" x14ac:dyDescent="0.2">
      <c r="A24" s="112"/>
      <c r="B24" s="84" t="s">
        <v>137</v>
      </c>
      <c r="C24" s="81" t="s">
        <v>259</v>
      </c>
      <c r="D24" s="82">
        <v>2</v>
      </c>
      <c r="E24" s="82">
        <v>80</v>
      </c>
      <c r="F24" s="82" t="s">
        <v>118</v>
      </c>
      <c r="G24" s="83">
        <f>INDEX('TPU MAR-24'!$D$9:$D$999,MATCH(B24,'TPU MAR-24'!$A$9:$A$999,0))</f>
        <v>208.51</v>
      </c>
      <c r="H24" s="83">
        <f t="shared" ref="H24:H29" si="3">D24*E24*G24</f>
        <v>33361.599999999999</v>
      </c>
      <c r="J24" s="42" t="s">
        <v>276</v>
      </c>
      <c r="K24" s="103">
        <v>20</v>
      </c>
    </row>
    <row r="25" spans="1:11" x14ac:dyDescent="0.2">
      <c r="A25" s="112"/>
      <c r="B25" s="84" t="s">
        <v>153</v>
      </c>
      <c r="C25" s="81" t="s">
        <v>154</v>
      </c>
      <c r="D25" s="82">
        <v>1</v>
      </c>
      <c r="E25" s="82">
        <v>80</v>
      </c>
      <c r="F25" s="82" t="s">
        <v>118</v>
      </c>
      <c r="G25" s="83">
        <f>INDEX('TPU MAR-24'!$D$9:$D$999,MATCH(B25,'TPU MAR-24'!$A$9:$A$999,0))</f>
        <v>25.5</v>
      </c>
      <c r="H25" s="83">
        <f t="shared" si="3"/>
        <v>2040</v>
      </c>
      <c r="J25" s="42" t="s">
        <v>277</v>
      </c>
      <c r="K25" s="103">
        <v>1200</v>
      </c>
    </row>
    <row r="26" spans="1:11" x14ac:dyDescent="0.2">
      <c r="A26" s="112"/>
      <c r="B26" s="84" t="s">
        <v>140</v>
      </c>
      <c r="C26" s="81" t="s">
        <v>280</v>
      </c>
      <c r="D26" s="82">
        <v>1</v>
      </c>
      <c r="E26" s="82">
        <f>($K$70+$K$19)*$K$16</f>
        <v>30</v>
      </c>
      <c r="F26" s="82" t="s">
        <v>118</v>
      </c>
      <c r="G26" s="83">
        <f>INDEX('TPU MAR-24'!$D$9:$D$999,MATCH(B26,'TPU MAR-24'!$A$9:$A$999,0))</f>
        <v>213.54</v>
      </c>
      <c r="H26" s="83">
        <f t="shared" si="3"/>
        <v>6406.2</v>
      </c>
      <c r="J26" s="42" t="s">
        <v>278</v>
      </c>
      <c r="K26" s="42">
        <v>1</v>
      </c>
    </row>
    <row r="27" spans="1:11" x14ac:dyDescent="0.2">
      <c r="A27" s="112"/>
      <c r="B27" s="84" t="s">
        <v>153</v>
      </c>
      <c r="C27" s="81" t="s">
        <v>154</v>
      </c>
      <c r="D27" s="82">
        <v>1</v>
      </c>
      <c r="E27" s="82">
        <f>($K$70)*$K$16</f>
        <v>20</v>
      </c>
      <c r="F27" s="82" t="s">
        <v>118</v>
      </c>
      <c r="G27" s="83">
        <f>INDEX('TPU MAR-24'!$D$9:$D$999,MATCH(B27,'TPU MAR-24'!$A$9:$A$999,0))</f>
        <v>25.5</v>
      </c>
      <c r="H27" s="83">
        <f t="shared" si="3"/>
        <v>510</v>
      </c>
      <c r="J27" s="42" t="s">
        <v>279</v>
      </c>
      <c r="K27" s="42">
        <v>3</v>
      </c>
    </row>
    <row r="28" spans="1:11" x14ac:dyDescent="0.2">
      <c r="A28" s="88"/>
      <c r="B28" s="84" t="s">
        <v>140</v>
      </c>
      <c r="C28" s="81" t="s">
        <v>221</v>
      </c>
      <c r="D28" s="82">
        <f>IF(AND($K$4&gt;0,$K$4&lt;=10),1,IF(AND($K$4&gt;10,$K$4&lt;=20),1,IF(AND($K$4&gt;20,$K$4&lt;=30),1,IF($K$4&gt;=30,1,""))))</f>
        <v>1</v>
      </c>
      <c r="E28" s="82">
        <v>20</v>
      </c>
      <c r="F28" s="82" t="s">
        <v>118</v>
      </c>
      <c r="G28" s="83">
        <f>INDEX('TPU MAR-24'!$D$9:$D$999,MATCH(B28,'TPU MAR-24'!$A$9:$A$999,0))</f>
        <v>213.54</v>
      </c>
      <c r="H28" s="83">
        <f t="shared" si="3"/>
        <v>4270.8</v>
      </c>
      <c r="J28" s="42" t="s">
        <v>281</v>
      </c>
      <c r="K28" s="103">
        <v>1200</v>
      </c>
    </row>
    <row r="29" spans="1:11" x14ac:dyDescent="0.2">
      <c r="A29" s="88"/>
      <c r="B29" s="84" t="s">
        <v>153</v>
      </c>
      <c r="C29" s="81" t="s">
        <v>154</v>
      </c>
      <c r="D29" s="82">
        <v>1</v>
      </c>
      <c r="E29" s="82">
        <v>20</v>
      </c>
      <c r="F29" s="82" t="s">
        <v>118</v>
      </c>
      <c r="G29" s="83">
        <f>INDEX('TPU MAR-24'!$D$9:$D$999,MATCH(B29,'TPU MAR-24'!$A$9:$A$999,0))</f>
        <v>25.5</v>
      </c>
      <c r="H29" s="83">
        <f t="shared" si="3"/>
        <v>510</v>
      </c>
    </row>
    <row r="30" spans="1:11" x14ac:dyDescent="0.2">
      <c r="C30" s="357" t="s">
        <v>156</v>
      </c>
      <c r="D30" s="357"/>
      <c r="E30" s="357"/>
      <c r="F30" s="357"/>
      <c r="G30" s="357"/>
      <c r="H30" s="89">
        <f>SUM(H6:H29)</f>
        <v>227699.15999999997</v>
      </c>
      <c r="J30" s="42" t="s">
        <v>282</v>
      </c>
      <c r="K30" s="71">
        <v>0</v>
      </c>
    </row>
    <row r="31" spans="1:11" x14ac:dyDescent="0.2">
      <c r="B31" s="80"/>
      <c r="C31" s="361" t="s">
        <v>158</v>
      </c>
      <c r="D31" s="361"/>
      <c r="E31" s="361"/>
      <c r="F31" s="361"/>
      <c r="G31" s="361"/>
      <c r="H31" s="361"/>
      <c r="J31" s="42" t="s">
        <v>283</v>
      </c>
      <c r="K31" s="71">
        <v>0</v>
      </c>
    </row>
    <row r="32" spans="1:11" x14ac:dyDescent="0.2">
      <c r="C32" s="81" t="s">
        <v>297</v>
      </c>
      <c r="D32" s="26">
        <v>1</v>
      </c>
      <c r="E32" s="82">
        <v>1</v>
      </c>
      <c r="F32" s="82" t="s">
        <v>168</v>
      </c>
      <c r="G32" s="83">
        <v>1500</v>
      </c>
      <c r="H32" s="83">
        <f>D32*E32*G32</f>
        <v>1500</v>
      </c>
    </row>
    <row r="33" spans="1:11" x14ac:dyDescent="0.2">
      <c r="B33" s="75"/>
      <c r="C33" s="81" t="s">
        <v>323</v>
      </c>
      <c r="D33" s="82">
        <f>D22</f>
        <v>1</v>
      </c>
      <c r="E33" s="82">
        <v>1</v>
      </c>
      <c r="F33" s="82" t="s">
        <v>161</v>
      </c>
      <c r="G33" s="83">
        <f>'TPU MAR-24'!$C$52</f>
        <v>318.24</v>
      </c>
      <c r="H33" s="83">
        <f t="shared" ref="H33:H50" si="4">IF(D33&lt;&gt;"",D33*E33*G33,"")</f>
        <v>318.24</v>
      </c>
      <c r="J33" s="42" t="s">
        <v>284</v>
      </c>
      <c r="K33" s="42">
        <v>2</v>
      </c>
    </row>
    <row r="34" spans="1:11" x14ac:dyDescent="0.2">
      <c r="B34" s="75"/>
      <c r="C34" s="81" t="s">
        <v>165</v>
      </c>
      <c r="D34" s="82">
        <v>1</v>
      </c>
      <c r="E34" s="82">
        <v>1</v>
      </c>
      <c r="F34" s="82" t="s">
        <v>161</v>
      </c>
      <c r="G34" s="83">
        <f>'TPU MAR-24'!$C$53</f>
        <v>159.12</v>
      </c>
      <c r="H34" s="83">
        <f t="shared" si="4"/>
        <v>159.12</v>
      </c>
      <c r="J34" s="42" t="s">
        <v>285</v>
      </c>
      <c r="K34" s="42">
        <f>2+1</f>
        <v>3</v>
      </c>
    </row>
    <row r="35" spans="1:11" x14ac:dyDescent="0.2">
      <c r="B35" s="75"/>
      <c r="C35" s="81" t="s">
        <v>324</v>
      </c>
      <c r="D35" s="82">
        <f>D24</f>
        <v>2</v>
      </c>
      <c r="E35" s="82">
        <v>8</v>
      </c>
      <c r="F35" s="82" t="s">
        <v>161</v>
      </c>
      <c r="G35" s="83">
        <f>'TPU MAR-24'!$C$52</f>
        <v>318.24</v>
      </c>
      <c r="H35" s="83">
        <f t="shared" si="4"/>
        <v>5091.84</v>
      </c>
      <c r="J35" s="42" t="s">
        <v>286</v>
      </c>
      <c r="K35" s="42">
        <v>1</v>
      </c>
    </row>
    <row r="36" spans="1:11" x14ac:dyDescent="0.2">
      <c r="B36" s="75"/>
      <c r="C36" s="81" t="s">
        <v>165</v>
      </c>
      <c r="D36" s="82">
        <v>1</v>
      </c>
      <c r="E36" s="82">
        <v>8</v>
      </c>
      <c r="F36" s="82" t="s">
        <v>161</v>
      </c>
      <c r="G36" s="83">
        <f>'TPU MAR-24'!$C$53</f>
        <v>159.12</v>
      </c>
      <c r="H36" s="83">
        <f t="shared" si="4"/>
        <v>1272.96</v>
      </c>
      <c r="J36" s="42" t="s">
        <v>837</v>
      </c>
      <c r="K36" s="42">
        <v>5</v>
      </c>
    </row>
    <row r="37" spans="1:11" x14ac:dyDescent="0.2">
      <c r="B37" s="75"/>
      <c r="C37" s="81" t="s">
        <v>843</v>
      </c>
      <c r="D37" s="82">
        <f>D26</f>
        <v>1</v>
      </c>
      <c r="E37" s="82">
        <f>($K$70+$K$19)</f>
        <v>3</v>
      </c>
      <c r="F37" s="82" t="s">
        <v>161</v>
      </c>
      <c r="G37" s="83">
        <f>'TPU MAR-24'!$C$52</f>
        <v>318.24</v>
      </c>
      <c r="H37" s="83">
        <f t="shared" si="4"/>
        <v>954.72</v>
      </c>
      <c r="J37" s="42" t="s">
        <v>838</v>
      </c>
      <c r="K37" s="42">
        <v>2</v>
      </c>
    </row>
    <row r="38" spans="1:11" x14ac:dyDescent="0.2">
      <c r="B38" s="75"/>
      <c r="C38" s="81" t="s">
        <v>165</v>
      </c>
      <c r="D38" s="82">
        <f>D27</f>
        <v>1</v>
      </c>
      <c r="E38" s="82">
        <f>($K$70)</f>
        <v>2</v>
      </c>
      <c r="F38" s="82" t="s">
        <v>161</v>
      </c>
      <c r="G38" s="83">
        <f>'TPU MAR-24'!$C$53</f>
        <v>159.12</v>
      </c>
      <c r="H38" s="83">
        <f t="shared" si="4"/>
        <v>318.24</v>
      </c>
      <c r="J38" s="42" t="s">
        <v>287</v>
      </c>
      <c r="K38" s="42">
        <f>$K$34*$K$35*$K$15</f>
        <v>24</v>
      </c>
    </row>
    <row r="39" spans="1:11" x14ac:dyDescent="0.2">
      <c r="B39" s="75"/>
      <c r="C39" s="81" t="s">
        <v>160</v>
      </c>
      <c r="D39" s="82">
        <f>D28</f>
        <v>1</v>
      </c>
      <c r="E39" s="82">
        <v>2</v>
      </c>
      <c r="F39" s="82" t="s">
        <v>161</v>
      </c>
      <c r="G39" s="83">
        <f>'TPU MAR-24'!$C$52</f>
        <v>318.24</v>
      </c>
      <c r="H39" s="83">
        <f t="shared" si="4"/>
        <v>636.48</v>
      </c>
      <c r="J39" s="42" t="s">
        <v>198</v>
      </c>
      <c r="K39" s="103">
        <v>3100</v>
      </c>
    </row>
    <row r="40" spans="1:11" x14ac:dyDescent="0.2">
      <c r="A40" s="132"/>
      <c r="B40" s="133"/>
      <c r="C40" s="81" t="s">
        <v>165</v>
      </c>
      <c r="D40" s="82">
        <f>SUM(D29:D29)</f>
        <v>1</v>
      </c>
      <c r="E40" s="82">
        <v>2</v>
      </c>
      <c r="F40" s="82" t="s">
        <v>161</v>
      </c>
      <c r="G40" s="83">
        <f>'TPU MAR-24'!$C$53</f>
        <v>159.12</v>
      </c>
      <c r="H40" s="83">
        <f t="shared" si="4"/>
        <v>318.24</v>
      </c>
      <c r="J40" s="42" t="s">
        <v>199</v>
      </c>
      <c r="K40" s="103">
        <v>120</v>
      </c>
    </row>
    <row r="41" spans="1:11" x14ac:dyDescent="0.2">
      <c r="A41" s="132"/>
      <c r="B41" s="133"/>
      <c r="C41" s="81" t="s">
        <v>167</v>
      </c>
      <c r="D41" s="26">
        <v>1</v>
      </c>
      <c r="E41" s="82">
        <v>1</v>
      </c>
      <c r="F41" s="82" t="s">
        <v>321</v>
      </c>
      <c r="G41" s="83">
        <v>1500</v>
      </c>
      <c r="H41" s="83">
        <f t="shared" si="4"/>
        <v>1500</v>
      </c>
    </row>
    <row r="42" spans="1:11" x14ac:dyDescent="0.2">
      <c r="A42" s="132"/>
      <c r="B42" s="133"/>
      <c r="C42" s="81" t="s">
        <v>314</v>
      </c>
      <c r="D42" s="26">
        <f>D23</f>
        <v>1</v>
      </c>
      <c r="E42" s="82">
        <f>E33</f>
        <v>1</v>
      </c>
      <c r="F42" s="82" t="s">
        <v>161</v>
      </c>
      <c r="G42" s="95">
        <f>'TPU MAR-24'!$D$42</f>
        <v>193.64</v>
      </c>
      <c r="H42" s="83">
        <f t="shared" si="4"/>
        <v>193.64</v>
      </c>
      <c r="J42" s="42" t="s">
        <v>260</v>
      </c>
      <c r="K42" s="42">
        <v>2</v>
      </c>
    </row>
    <row r="43" spans="1:11" x14ac:dyDescent="0.2">
      <c r="A43" s="132"/>
      <c r="B43" s="133"/>
      <c r="C43" s="81" t="s">
        <v>315</v>
      </c>
      <c r="D43" s="26">
        <f>D23</f>
        <v>1</v>
      </c>
      <c r="E43" s="82">
        <f>$K$6</f>
        <v>280</v>
      </c>
      <c r="F43" s="82" t="s">
        <v>173</v>
      </c>
      <c r="G43" s="95">
        <f>'TPU MAR-24'!$D$40</f>
        <v>1.29</v>
      </c>
      <c r="H43" s="83">
        <f t="shared" si="4"/>
        <v>361.2</v>
      </c>
      <c r="J43" s="42" t="s">
        <v>263</v>
      </c>
      <c r="K43" s="42">
        <v>2</v>
      </c>
    </row>
    <row r="44" spans="1:11" x14ac:dyDescent="0.2">
      <c r="A44" s="132"/>
      <c r="B44" s="133"/>
      <c r="C44" s="298" t="s">
        <v>846</v>
      </c>
      <c r="D44" s="26">
        <v>1</v>
      </c>
      <c r="E44" s="82">
        <f>($K$70+$K$19)</f>
        <v>3</v>
      </c>
      <c r="F44" s="82" t="s">
        <v>161</v>
      </c>
      <c r="G44" s="95">
        <f>$K$71</f>
        <v>2000</v>
      </c>
      <c r="H44" s="83">
        <f t="shared" si="4"/>
        <v>6000</v>
      </c>
    </row>
    <row r="45" spans="1:11" x14ac:dyDescent="0.2">
      <c r="A45" s="132"/>
      <c r="B45" s="133"/>
      <c r="C45" s="81" t="s">
        <v>829</v>
      </c>
      <c r="D45" s="26">
        <f>D25</f>
        <v>1</v>
      </c>
      <c r="E45" s="82">
        <f>E35</f>
        <v>8</v>
      </c>
      <c r="F45" s="82" t="s">
        <v>161</v>
      </c>
      <c r="G45" s="95">
        <f>'TPU MAR-24'!$D$42</f>
        <v>193.64</v>
      </c>
      <c r="H45" s="83">
        <f t="shared" si="4"/>
        <v>1549.12</v>
      </c>
      <c r="J45" s="42" t="s">
        <v>288</v>
      </c>
      <c r="K45" s="42">
        <v>1</v>
      </c>
    </row>
    <row r="46" spans="1:11" x14ac:dyDescent="0.2">
      <c r="A46" s="132"/>
      <c r="B46" s="133"/>
      <c r="C46" s="81" t="s">
        <v>830</v>
      </c>
      <c r="D46" s="26">
        <f>D25</f>
        <v>1</v>
      </c>
      <c r="E46" s="82">
        <f>$K$6</f>
        <v>280</v>
      </c>
      <c r="F46" s="82" t="s">
        <v>173</v>
      </c>
      <c r="G46" s="95">
        <f>'TPU MAR-24'!$D$40</f>
        <v>1.29</v>
      </c>
      <c r="H46" s="83">
        <f t="shared" si="4"/>
        <v>361.2</v>
      </c>
      <c r="J46" s="42" t="s">
        <v>289</v>
      </c>
      <c r="K46" s="42">
        <v>2</v>
      </c>
    </row>
    <row r="47" spans="1:11" x14ac:dyDescent="0.2">
      <c r="A47" s="132"/>
      <c r="B47" s="133"/>
      <c r="C47" s="81" t="s">
        <v>844</v>
      </c>
      <c r="D47" s="26">
        <f>D26</f>
        <v>1</v>
      </c>
      <c r="E47" s="82">
        <f>($K$70+$K$19)</f>
        <v>3</v>
      </c>
      <c r="F47" s="82" t="s">
        <v>161</v>
      </c>
      <c r="G47" s="95">
        <f>'TPU MAR-24'!$D$42</f>
        <v>193.64</v>
      </c>
      <c r="H47" s="83">
        <f>IF(D47&lt;&gt;"",D47*E47*G47,"")</f>
        <v>580.91999999999996</v>
      </c>
      <c r="J47" s="42" t="s">
        <v>264</v>
      </c>
      <c r="K47" s="42">
        <v>7</v>
      </c>
    </row>
    <row r="48" spans="1:11" x14ac:dyDescent="0.2">
      <c r="A48" s="132"/>
      <c r="B48" s="133"/>
      <c r="C48" s="81" t="s">
        <v>845</v>
      </c>
      <c r="D48" s="26">
        <f>D27</f>
        <v>1</v>
      </c>
      <c r="E48" s="82">
        <f>$K$6</f>
        <v>280</v>
      </c>
      <c r="F48" s="82" t="s">
        <v>173</v>
      </c>
      <c r="G48" s="95">
        <f>'TPU MAR-24'!$D$40</f>
        <v>1.29</v>
      </c>
      <c r="H48" s="83">
        <f t="shared" si="4"/>
        <v>361.2</v>
      </c>
      <c r="J48" s="42" t="s">
        <v>265</v>
      </c>
      <c r="K48" s="42">
        <v>1</v>
      </c>
    </row>
    <row r="49" spans="1:11" x14ac:dyDescent="0.2">
      <c r="A49" s="132"/>
      <c r="B49" s="133"/>
      <c r="C49" s="81" t="s">
        <v>831</v>
      </c>
      <c r="D49" s="26">
        <f>D29</f>
        <v>1</v>
      </c>
      <c r="E49" s="82">
        <f>E39</f>
        <v>2</v>
      </c>
      <c r="F49" s="82" t="s">
        <v>161</v>
      </c>
      <c r="G49" s="95">
        <f>'TPU MAR-24'!$D$42</f>
        <v>193.64</v>
      </c>
      <c r="H49" s="83">
        <f t="shared" si="4"/>
        <v>387.28</v>
      </c>
      <c r="J49" s="42" t="s">
        <v>290</v>
      </c>
      <c r="K49" s="42">
        <v>5</v>
      </c>
    </row>
    <row r="50" spans="1:11" x14ac:dyDescent="0.2">
      <c r="A50" s="132"/>
      <c r="B50" s="133"/>
      <c r="C50" s="81" t="s">
        <v>832</v>
      </c>
      <c r="D50" s="26">
        <f>D29</f>
        <v>1</v>
      </c>
      <c r="E50" s="82">
        <f>$K$6</f>
        <v>280</v>
      </c>
      <c r="F50" s="82" t="s">
        <v>173</v>
      </c>
      <c r="G50" s="95">
        <f>'TPU MAR-24'!$D$40</f>
        <v>1.29</v>
      </c>
      <c r="H50" s="83">
        <f t="shared" si="4"/>
        <v>361.2</v>
      </c>
      <c r="J50" s="42" t="s">
        <v>291</v>
      </c>
      <c r="K50" s="42">
        <v>10</v>
      </c>
    </row>
    <row r="51" spans="1:11" ht="12" customHeight="1" x14ac:dyDescent="0.2">
      <c r="C51" s="357" t="s">
        <v>175</v>
      </c>
      <c r="D51" s="357"/>
      <c r="E51" s="357"/>
      <c r="F51" s="357"/>
      <c r="G51" s="357"/>
      <c r="H51" s="97">
        <f>SUM(H32:H50)</f>
        <v>22225.599999999999</v>
      </c>
      <c r="J51" s="42" t="s">
        <v>292</v>
      </c>
      <c r="K51" s="42">
        <v>10</v>
      </c>
    </row>
    <row r="52" spans="1:11" x14ac:dyDescent="0.2">
      <c r="C52" s="361" t="s">
        <v>177</v>
      </c>
      <c r="D52" s="361"/>
      <c r="E52" s="361"/>
      <c r="F52" s="361"/>
      <c r="G52" s="361"/>
      <c r="H52" s="361"/>
      <c r="J52" s="42" t="s">
        <v>293</v>
      </c>
      <c r="K52" s="85">
        <v>5000</v>
      </c>
    </row>
    <row r="53" spans="1:11" x14ac:dyDescent="0.2">
      <c r="C53" s="357" t="s">
        <v>179</v>
      </c>
      <c r="D53" s="357"/>
      <c r="E53" s="357"/>
      <c r="F53" s="357"/>
      <c r="G53" s="357"/>
      <c r="H53" s="52">
        <f>H30+H51</f>
        <v>249924.75999999998</v>
      </c>
      <c r="J53" s="42" t="s">
        <v>294</v>
      </c>
      <c r="K53" s="85">
        <v>540</v>
      </c>
    </row>
    <row r="54" spans="1:11" x14ac:dyDescent="0.2">
      <c r="B54" s="127"/>
      <c r="C54" s="358" t="s">
        <v>325</v>
      </c>
      <c r="D54" s="359"/>
      <c r="E54" s="359"/>
      <c r="F54" s="360"/>
      <c r="G54" s="97">
        <f>'Taxa Licenciamento'!$D$10</f>
        <v>238680</v>
      </c>
      <c r="H54" s="42"/>
      <c r="J54" s="42" t="s">
        <v>295</v>
      </c>
      <c r="K54" s="85">
        <v>2200</v>
      </c>
    </row>
    <row r="55" spans="1:11" x14ac:dyDescent="0.2">
      <c r="B55" s="80"/>
      <c r="C55" s="357" t="s">
        <v>267</v>
      </c>
      <c r="D55" s="357"/>
      <c r="E55" s="357"/>
      <c r="F55" s="357"/>
      <c r="G55" s="357"/>
      <c r="H55" s="89">
        <f>H53+G54</f>
        <v>488604.76</v>
      </c>
      <c r="J55" s="42" t="s">
        <v>296</v>
      </c>
      <c r="K55" s="85">
        <v>5000</v>
      </c>
    </row>
    <row r="56" spans="1:11" x14ac:dyDescent="0.2">
      <c r="B56" s="80"/>
      <c r="C56" s="125"/>
      <c r="D56" s="123"/>
      <c r="E56" s="123"/>
      <c r="F56" s="123"/>
      <c r="G56" s="123"/>
      <c r="H56" s="123"/>
      <c r="J56" s="42" t="s">
        <v>139</v>
      </c>
      <c r="K56" s="85">
        <v>60</v>
      </c>
    </row>
    <row r="57" spans="1:11" x14ac:dyDescent="0.2">
      <c r="B57" s="80"/>
      <c r="C57" s="125"/>
      <c r="D57" s="123"/>
      <c r="E57" s="123"/>
      <c r="F57" s="123"/>
      <c r="G57" s="123"/>
      <c r="H57" s="123"/>
      <c r="J57" s="42" t="s">
        <v>142</v>
      </c>
      <c r="K57" s="85">
        <v>1200</v>
      </c>
    </row>
    <row r="58" spans="1:11" x14ac:dyDescent="0.2">
      <c r="A58" s="126" t="str">
        <f>CAPEX!$A$6</f>
        <v>1.2</v>
      </c>
      <c r="B58" s="77"/>
      <c r="C58" s="349" t="str">
        <f>CAPEX!$B$6</f>
        <v>Autorização de Supressão Vegetal (ASV) das Obras do Túnel Imerso</v>
      </c>
      <c r="D58" s="350"/>
      <c r="E58" s="350"/>
      <c r="F58" s="350"/>
      <c r="G58" s="350"/>
      <c r="H58" s="38">
        <f>H84</f>
        <v>114853.4</v>
      </c>
    </row>
    <row r="59" spans="1:11" ht="24" x14ac:dyDescent="0.2">
      <c r="A59" s="132"/>
      <c r="B59" s="133"/>
      <c r="C59" s="45" t="s">
        <v>109</v>
      </c>
      <c r="D59" s="45" t="s">
        <v>28</v>
      </c>
      <c r="E59" s="45" t="s">
        <v>110</v>
      </c>
      <c r="F59" s="45" t="s">
        <v>111</v>
      </c>
      <c r="G59" s="45" t="s">
        <v>112</v>
      </c>
      <c r="H59" s="78" t="s">
        <v>113</v>
      </c>
      <c r="J59" s="42" t="s">
        <v>356</v>
      </c>
      <c r="K59" s="71" t="s">
        <v>357</v>
      </c>
    </row>
    <row r="60" spans="1:11" x14ac:dyDescent="0.2">
      <c r="A60" s="132"/>
      <c r="B60" s="133"/>
      <c r="C60" s="361" t="s">
        <v>190</v>
      </c>
      <c r="D60" s="361"/>
      <c r="E60" s="361"/>
      <c r="F60" s="361"/>
      <c r="G60" s="361"/>
      <c r="H60" s="361"/>
    </row>
    <row r="61" spans="1:11" x14ac:dyDescent="0.2">
      <c r="A61" s="88"/>
      <c r="B61" s="80" t="s">
        <v>116</v>
      </c>
      <c r="C61" s="81" t="s">
        <v>117</v>
      </c>
      <c r="D61" s="82">
        <f>IF(AND($K$8&gt;0,$K$8&lt;=10),1,IF(AND($K$8&gt;10,$K$8&lt;=50),1,IF($K$8&gt;50,1,"")))</f>
        <v>1</v>
      </c>
      <c r="E61" s="82">
        <v>32</v>
      </c>
      <c r="F61" s="82" t="s">
        <v>118</v>
      </c>
      <c r="G61" s="83">
        <f>INDEX('TPU MAR-24'!$D$9:$D$999,MATCH(B61,'TPU MAR-24'!$A$9:$A$999,0))</f>
        <v>391.54</v>
      </c>
      <c r="H61" s="83">
        <f>D61*E61*G61</f>
        <v>12529.28</v>
      </c>
      <c r="J61" s="42" t="s">
        <v>266</v>
      </c>
      <c r="K61" s="42">
        <v>40</v>
      </c>
    </row>
    <row r="62" spans="1:11" x14ac:dyDescent="0.2">
      <c r="A62" s="112"/>
      <c r="B62" s="80" t="s">
        <v>123</v>
      </c>
      <c r="C62" s="81" t="s">
        <v>193</v>
      </c>
      <c r="D62" s="82">
        <f>IF(AND($K$8&gt;0,$K$8&lt;=10),1,IF(AND($K$8&gt;10,$K$8&lt;=50),1,IF($K$8&gt;50,1,"")))</f>
        <v>1</v>
      </c>
      <c r="E62" s="82">
        <f>5*K15</f>
        <v>40</v>
      </c>
      <c r="F62" s="82" t="s">
        <v>118</v>
      </c>
      <c r="G62" s="83">
        <f>INDEX('TPU MAR-24'!$D$9:$D$999,MATCH(B62,'TPU MAR-24'!$A$9:$A$999,0))</f>
        <v>268.08</v>
      </c>
      <c r="H62" s="83">
        <f t="shared" ref="H62:H64" si="5">D62*E62*G62</f>
        <v>10723.199999999999</v>
      </c>
    </row>
    <row r="63" spans="1:11" x14ac:dyDescent="0.2">
      <c r="A63" s="112"/>
      <c r="B63" s="80" t="s">
        <v>123</v>
      </c>
      <c r="C63" s="81" t="s">
        <v>322</v>
      </c>
      <c r="D63" s="82">
        <v>1</v>
      </c>
      <c r="E63" s="82">
        <v>40</v>
      </c>
      <c r="F63" s="82" t="s">
        <v>118</v>
      </c>
      <c r="G63" s="83">
        <f>INDEX('TPU MAR-24'!$D$9:$D$999,MATCH(B63,'TPU MAR-24'!$A$9:$A$999,0))</f>
        <v>268.08</v>
      </c>
      <c r="H63" s="83">
        <f t="shared" si="5"/>
        <v>10723.199999999999</v>
      </c>
      <c r="J63" s="42" t="s">
        <v>298</v>
      </c>
      <c r="K63" s="42">
        <v>3</v>
      </c>
    </row>
    <row r="64" spans="1:11" x14ac:dyDescent="0.2">
      <c r="A64" s="88"/>
      <c r="B64" s="84" t="s">
        <v>133</v>
      </c>
      <c r="C64" s="81" t="s">
        <v>195</v>
      </c>
      <c r="D64" s="82">
        <f>IF(AND($K$8&gt;0,$K$8&lt;=10),2,IF(AND($K$8&gt;10,$K$8&lt;=50),2,IF($K$8&gt;50,2,"")))</f>
        <v>2</v>
      </c>
      <c r="E64" s="82">
        <f>IF(AND($K$8&gt;0,$K$8&lt;=10),5*$K$15,IF(AND($K$8&gt;10,$K$8&lt;=50),7*$K$15,IF($K$8&gt;50,8*$K$15,"")))</f>
        <v>40</v>
      </c>
      <c r="F64" s="82" t="s">
        <v>118</v>
      </c>
      <c r="G64" s="83">
        <f>INDEX('TPU MAR-24'!$D$9:$D$999,MATCH(B64,'TPU MAR-24'!$A$9:$A$999,0))</f>
        <v>189.39</v>
      </c>
      <c r="H64" s="83">
        <f t="shared" si="5"/>
        <v>15151.199999999999</v>
      </c>
      <c r="J64" s="42" t="s">
        <v>299</v>
      </c>
      <c r="K64" s="42">
        <v>10</v>
      </c>
    </row>
    <row r="65" spans="1:11" x14ac:dyDescent="0.2">
      <c r="A65" s="88"/>
      <c r="B65" s="84" t="s">
        <v>133</v>
      </c>
      <c r="C65" s="81" t="s">
        <v>197</v>
      </c>
      <c r="D65" s="82">
        <f>IF(AND($K$8&gt;0,$K$8&lt;=10),1,IF(AND($K$8&gt;10,$K$8&lt;=50),1,IF($K$8&gt;50,1,"")))</f>
        <v>1</v>
      </c>
      <c r="E65" s="82">
        <f>IF(AND($K$8&gt;0,$K$8&lt;=10),3*$K$15,IF(AND($K$8&gt;10,$K$8&lt;=50),5*$K$15,IF($K$8&gt;50,7*$K$15,"")))</f>
        <v>24</v>
      </c>
      <c r="F65" s="82" t="s">
        <v>118</v>
      </c>
      <c r="G65" s="83">
        <f>INDEX('TPU MAR-24'!$D$9:$D$999,MATCH(B65,'TPU MAR-24'!$A$9:$A$999,0))</f>
        <v>189.39</v>
      </c>
      <c r="H65" s="83">
        <f>D65*E65*G65</f>
        <v>4545.3599999999997</v>
      </c>
    </row>
    <row r="66" spans="1:11" x14ac:dyDescent="0.2">
      <c r="A66" s="88"/>
      <c r="B66" s="84" t="s">
        <v>143</v>
      </c>
      <c r="C66" s="81" t="s">
        <v>200</v>
      </c>
      <c r="D66" s="82">
        <f>IF(AND($K$8&gt;0,$K$8&lt;=10),1,IF(AND($K$8&gt;10,$K$8&lt;=50),1,IF($K$8&gt;50,1,"")))</f>
        <v>1</v>
      </c>
      <c r="E66" s="82">
        <f>IF(AND($K$8&gt;0,$K$8&lt;=10),1*$K$15,IF(AND($K$8&gt;10,$K$8&lt;=50),3*$K$15,IF($K$8&gt;50,5*$K$15,"")))</f>
        <v>8</v>
      </c>
      <c r="F66" s="82" t="s">
        <v>118</v>
      </c>
      <c r="G66" s="83">
        <f>INDEX('TPU MAR-24'!$D$9:$D$999,MATCH(B66,'TPU MAR-24'!$A$9:$A$999,0))</f>
        <v>94.41</v>
      </c>
      <c r="H66" s="83">
        <f t="shared" ref="H66:H67" si="6">D66*E66*G66</f>
        <v>755.28</v>
      </c>
      <c r="J66" s="42" t="s">
        <v>300</v>
      </c>
      <c r="K66" s="101">
        <v>10000</v>
      </c>
    </row>
    <row r="67" spans="1:11" x14ac:dyDescent="0.2">
      <c r="A67" s="88"/>
      <c r="B67" s="84" t="s">
        <v>146</v>
      </c>
      <c r="C67" s="81" t="s">
        <v>147</v>
      </c>
      <c r="D67" s="82">
        <f>IF(AND($K$4&gt;0,$K$4&lt;=10),1,IF(AND($K$4&gt;10,$K$4&lt;=20),1,IF(AND($K$4&gt;20,$K$4&lt;=30),1,IF($K$4&gt;=30,1,""))))</f>
        <v>1</v>
      </c>
      <c r="E67" s="82">
        <f>IF(AND($K$8&gt;0,$K$8&lt;=10),1*$K$15,IF(AND($K$8&gt;10,$K$8&lt;=50),1*$K$15,IF($K$8&gt;50,1*$K$15,"")))</f>
        <v>8</v>
      </c>
      <c r="F67" s="82" t="s">
        <v>118</v>
      </c>
      <c r="G67" s="83">
        <f>INDEX('TPU MAR-24'!$D$9:$D$999,MATCH(B67,'TPU MAR-24'!$A$9:$A$999,0))</f>
        <v>46.06</v>
      </c>
      <c r="H67" s="83">
        <f t="shared" si="6"/>
        <v>368.48</v>
      </c>
      <c r="J67" s="42" t="s">
        <v>301</v>
      </c>
      <c r="K67" s="130">
        <f>K66/500</f>
        <v>20</v>
      </c>
    </row>
    <row r="68" spans="1:11" x14ac:dyDescent="0.2">
      <c r="A68" s="132"/>
      <c r="B68" s="133"/>
      <c r="C68" s="129" t="s">
        <v>149</v>
      </c>
      <c r="D68" s="26"/>
      <c r="E68" s="82"/>
      <c r="F68" s="82"/>
      <c r="G68" s="83"/>
      <c r="H68" s="83"/>
      <c r="J68" s="42" t="s">
        <v>302</v>
      </c>
      <c r="K68" s="42">
        <v>1</v>
      </c>
    </row>
    <row r="69" spans="1:11" x14ac:dyDescent="0.2">
      <c r="A69" s="88"/>
      <c r="B69" s="84" t="s">
        <v>133</v>
      </c>
      <c r="C69" s="81" t="s">
        <v>202</v>
      </c>
      <c r="D69" s="82">
        <f>IF(AND($K$8&gt;0,$K$8&lt;=10),2,IF(AND($K$8&gt;10,$K$8&lt;=50),2,IF($K$8&gt;50,2,"")))</f>
        <v>2</v>
      </c>
      <c r="E69" s="82">
        <f>IF(AND($K$8&gt;0,$K$8&lt;=10),(5+$K$19+$K$11)*$K$16,IF(AND($K$8&gt;10,$K$8&lt;=50),(10+$K$19+$K$11)*$K$16,IF($K$8&gt;50,(15+$K$19+$K$11)*$K$16,"")))</f>
        <v>90</v>
      </c>
      <c r="F69" s="82" t="s">
        <v>118</v>
      </c>
      <c r="G69" s="83">
        <f>INDEX('TPU MAR-24'!$D$9:$D$999,MATCH(B69,'TPU MAR-24'!$A$9:$A$999,0))</f>
        <v>189.39</v>
      </c>
      <c r="H69" s="83">
        <f t="shared" ref="H69:H70" si="7">D69*E69*G69</f>
        <v>34090.199999999997</v>
      </c>
      <c r="J69" s="42" t="s">
        <v>303</v>
      </c>
      <c r="K69" s="131">
        <f>K67*K68</f>
        <v>20</v>
      </c>
    </row>
    <row r="70" spans="1:11" x14ac:dyDescent="0.2">
      <c r="A70" s="88"/>
      <c r="B70" s="84" t="s">
        <v>204</v>
      </c>
      <c r="C70" s="81" t="s">
        <v>205</v>
      </c>
      <c r="D70" s="82">
        <f>IF(AND($K$8&gt;0,$K$8&lt;=50),1,IF(AND($K$8&gt;50,$K$8&lt;=150),2,IF($K$8&gt;150,2,"")))</f>
        <v>1</v>
      </c>
      <c r="E70" s="82">
        <f>IF(AND($K$8&gt;0,$K$8&lt;=10),(5+$K$11)*$K$16,IF(AND($K$8&gt;10,$K$8&lt;=50),(10+$K$11)*$K$16,IF($K$8&gt;50,(15+$K$11)*$K$16,"")))</f>
        <v>80</v>
      </c>
      <c r="F70" s="82" t="s">
        <v>118</v>
      </c>
      <c r="G70" s="83">
        <f>INDEX('TPU MAR-24'!$D$9:$D$999,MATCH(B70,'TPU MAR-24'!$A$9:$A$999,0))</f>
        <v>24.14</v>
      </c>
      <c r="H70" s="83">
        <f t="shared" si="7"/>
        <v>1931.2</v>
      </c>
      <c r="J70" s="42" t="s">
        <v>304</v>
      </c>
      <c r="K70" s="131">
        <f>ROUNDUP(($K$67*$K$68)/$K$16,0)</f>
        <v>2</v>
      </c>
    </row>
    <row r="71" spans="1:11" x14ac:dyDescent="0.2">
      <c r="A71" s="132"/>
      <c r="B71" s="133"/>
      <c r="C71" s="357" t="s">
        <v>156</v>
      </c>
      <c r="D71" s="357"/>
      <c r="E71" s="357"/>
      <c r="F71" s="357"/>
      <c r="G71" s="357"/>
      <c r="H71" s="89">
        <f>SUM(H61:H70)</f>
        <v>90817.4</v>
      </c>
      <c r="J71" s="42" t="s">
        <v>305</v>
      </c>
      <c r="K71" s="101">
        <v>2000</v>
      </c>
    </row>
    <row r="72" spans="1:11" x14ac:dyDescent="0.2">
      <c r="A72" s="132"/>
      <c r="B72" s="133"/>
      <c r="C72" s="361" t="s">
        <v>158</v>
      </c>
      <c r="D72" s="361"/>
      <c r="E72" s="361"/>
      <c r="F72" s="361"/>
      <c r="G72" s="361"/>
      <c r="H72" s="361"/>
      <c r="J72" s="42" t="s">
        <v>306</v>
      </c>
      <c r="K72" s="101">
        <v>5</v>
      </c>
    </row>
    <row r="73" spans="1:11" x14ac:dyDescent="0.2">
      <c r="A73" s="132"/>
      <c r="B73" s="133"/>
      <c r="C73" s="81" t="s">
        <v>209</v>
      </c>
      <c r="D73" s="26">
        <f>D69</f>
        <v>2</v>
      </c>
      <c r="E73" s="82">
        <f>IF(AND($K$8&gt;0,$K$8&lt;=10),(5+$K$19+$K$11),IF(AND($K$8&gt;10,$K$8&lt;=50),(10+$K$19+$K$11),IF($K$8&gt;50,(15+$K$19+$K$11),"")))</f>
        <v>9</v>
      </c>
      <c r="F73" s="82" t="s">
        <v>161</v>
      </c>
      <c r="G73" s="83">
        <f>'TPU MAR-24'!$C$52</f>
        <v>318.24</v>
      </c>
      <c r="H73" s="83">
        <f t="shared" ref="H73:H74" si="8">D73*E73*G73</f>
        <v>5728.32</v>
      </c>
    </row>
    <row r="74" spans="1:11" x14ac:dyDescent="0.2">
      <c r="A74" s="132"/>
      <c r="B74" s="133"/>
      <c r="C74" s="81" t="s">
        <v>211</v>
      </c>
      <c r="D74" s="26">
        <f>D70</f>
        <v>1</v>
      </c>
      <c r="E74" s="82">
        <f>IF(AND($K$8&gt;0,$K$8&lt;=10),(5+$K$11),IF(AND($K$8&gt;10,$K$8&lt;=50),(10+$K$11),IF($K$8&gt;50,(15+$K$11),"")))</f>
        <v>8</v>
      </c>
      <c r="F74" s="82" t="s">
        <v>161</v>
      </c>
      <c r="G74" s="83">
        <f>'TPU MAR-24'!$C$53</f>
        <v>159.12</v>
      </c>
      <c r="H74" s="83">
        <f t="shared" si="8"/>
        <v>1272.96</v>
      </c>
      <c r="J74" s="42" t="s">
        <v>307</v>
      </c>
      <c r="K74" s="85">
        <v>500</v>
      </c>
    </row>
    <row r="75" spans="1:11" x14ac:dyDescent="0.2">
      <c r="B75" s="75"/>
      <c r="C75" s="81" t="s">
        <v>167</v>
      </c>
      <c r="D75" s="26">
        <v>1</v>
      </c>
      <c r="E75" s="82">
        <v>1</v>
      </c>
      <c r="F75" s="82" t="s">
        <v>321</v>
      </c>
      <c r="G75" s="83">
        <v>1500</v>
      </c>
      <c r="H75" s="83">
        <f>D75*E75*G75</f>
        <v>1500</v>
      </c>
    </row>
    <row r="76" spans="1:11" x14ac:dyDescent="0.2">
      <c r="B76" s="75"/>
      <c r="C76" s="81" t="s">
        <v>213</v>
      </c>
      <c r="D76" s="26">
        <v>1</v>
      </c>
      <c r="E76" s="82">
        <v>1</v>
      </c>
      <c r="F76" s="82" t="s">
        <v>168</v>
      </c>
      <c r="G76" s="83">
        <f>$K$12</f>
        <v>540</v>
      </c>
      <c r="H76" s="83">
        <f t="shared" ref="H76:H79" si="9">D76*E76*G76</f>
        <v>540</v>
      </c>
      <c r="J76" s="42" t="s">
        <v>358</v>
      </c>
      <c r="K76" s="42">
        <v>2</v>
      </c>
    </row>
    <row r="77" spans="1:11" x14ac:dyDescent="0.2">
      <c r="B77" s="75"/>
      <c r="C77" s="81" t="s">
        <v>271</v>
      </c>
      <c r="D77" s="26">
        <v>1</v>
      </c>
      <c r="E77" s="82">
        <v>1</v>
      </c>
      <c r="F77" s="82" t="s">
        <v>168</v>
      </c>
      <c r="G77" s="83">
        <f>$K$13</f>
        <v>540</v>
      </c>
      <c r="H77" s="83">
        <f t="shared" si="9"/>
        <v>540</v>
      </c>
    </row>
    <row r="78" spans="1:11" x14ac:dyDescent="0.2">
      <c r="B78" s="75"/>
      <c r="C78" s="81" t="s">
        <v>215</v>
      </c>
      <c r="D78" s="26">
        <f>D69</f>
        <v>2</v>
      </c>
      <c r="E78" s="82">
        <f>IF(AND($K$8&gt;0,$K$8&lt;=10),(5+$K$19+$K$11),IF(AND($K$8&gt;10,$K$8&lt;=50),(10+$K$19+$K$11),IF($K$8&gt;50,(15+$K$19+$K$11),"")))</f>
        <v>9</v>
      </c>
      <c r="F78" s="26" t="s">
        <v>161</v>
      </c>
      <c r="G78" s="95">
        <f>'TPU MAR-24'!$D$42</f>
        <v>193.64</v>
      </c>
      <c r="H78" s="83">
        <f t="shared" ref="H78" si="10">D78*E78*G78</f>
        <v>3485.5199999999995</v>
      </c>
      <c r="J78" s="42" t="s">
        <v>308</v>
      </c>
      <c r="K78" s="42">
        <v>15</v>
      </c>
    </row>
    <row r="79" spans="1:11" x14ac:dyDescent="0.2">
      <c r="A79" s="132"/>
      <c r="B79" s="133"/>
      <c r="C79" s="81" t="s">
        <v>316</v>
      </c>
      <c r="D79" s="26">
        <f>D70</f>
        <v>1</v>
      </c>
      <c r="E79" s="82">
        <f>$K$6</f>
        <v>280</v>
      </c>
      <c r="F79" s="82" t="s">
        <v>173</v>
      </c>
      <c r="G79" s="95">
        <f>'TPU MAR-24'!$D$40</f>
        <v>1.29</v>
      </c>
      <c r="H79" s="83">
        <f t="shared" si="9"/>
        <v>361.2</v>
      </c>
      <c r="J79" s="42" t="s">
        <v>309</v>
      </c>
      <c r="K79" s="42">
        <v>5</v>
      </c>
    </row>
    <row r="80" spans="1:11" x14ac:dyDescent="0.2">
      <c r="A80" s="132"/>
      <c r="B80" s="133"/>
      <c r="C80" s="354" t="s">
        <v>175</v>
      </c>
      <c r="D80" s="355"/>
      <c r="E80" s="355"/>
      <c r="F80" s="355"/>
      <c r="G80" s="356"/>
      <c r="H80" s="97">
        <f>SUM(H73:H79)</f>
        <v>13428</v>
      </c>
      <c r="J80" s="42" t="s">
        <v>310</v>
      </c>
      <c r="K80" s="42">
        <v>3</v>
      </c>
    </row>
    <row r="81" spans="1:11" x14ac:dyDescent="0.2">
      <c r="A81" s="132"/>
      <c r="B81" s="133"/>
      <c r="C81" s="351" t="s">
        <v>177</v>
      </c>
      <c r="D81" s="352"/>
      <c r="E81" s="352"/>
      <c r="F81" s="352"/>
      <c r="G81" s="352"/>
      <c r="H81" s="353"/>
      <c r="J81" s="42" t="s">
        <v>311</v>
      </c>
      <c r="K81" s="42">
        <v>5</v>
      </c>
    </row>
    <row r="82" spans="1:11" x14ac:dyDescent="0.2">
      <c r="A82" s="132"/>
      <c r="B82" s="133"/>
      <c r="C82" s="354" t="s">
        <v>179</v>
      </c>
      <c r="D82" s="355"/>
      <c r="E82" s="355"/>
      <c r="F82" s="355"/>
      <c r="G82" s="356"/>
      <c r="H82" s="52">
        <f>H71+H80</f>
        <v>104245.4</v>
      </c>
    </row>
    <row r="83" spans="1:11" x14ac:dyDescent="0.2">
      <c r="B83" s="127"/>
      <c r="C83" s="358" t="s">
        <v>326</v>
      </c>
      <c r="D83" s="359"/>
      <c r="E83" s="359"/>
      <c r="F83" s="360"/>
      <c r="G83" s="97">
        <f>IF($K$8&lt;=1,'Taxa Licenciamento'!$D$15,'Taxa Licenciamento'!$D$16)</f>
        <v>10608</v>
      </c>
      <c r="H83" s="42"/>
    </row>
    <row r="84" spans="1:11" x14ac:dyDescent="0.2">
      <c r="A84" s="132"/>
      <c r="B84" s="133"/>
      <c r="C84" s="354" t="s">
        <v>267</v>
      </c>
      <c r="D84" s="355"/>
      <c r="E84" s="355"/>
      <c r="F84" s="355"/>
      <c r="G84" s="356"/>
      <c r="H84" s="89">
        <f>H82+G83</f>
        <v>114853.4</v>
      </c>
    </row>
    <row r="85" spans="1:11" x14ac:dyDescent="0.2">
      <c r="B85" s="80"/>
      <c r="C85" s="125"/>
      <c r="D85" s="123"/>
      <c r="E85" s="123"/>
      <c r="F85" s="123"/>
      <c r="G85" s="123"/>
      <c r="H85" s="123"/>
    </row>
    <row r="86" spans="1:11" x14ac:dyDescent="0.2">
      <c r="B86" s="80"/>
      <c r="C86" s="125"/>
      <c r="D86" s="123"/>
      <c r="E86" s="123"/>
      <c r="F86" s="123"/>
      <c r="G86" s="123"/>
      <c r="H86" s="123"/>
    </row>
    <row r="87" spans="1:11" x14ac:dyDescent="0.2">
      <c r="A87" s="126" t="str">
        <f>CAPEX!$A$7</f>
        <v>1.3</v>
      </c>
      <c r="B87" s="77"/>
      <c r="C87" s="349" t="str">
        <f>CAPEX!$B$7</f>
        <v>Outorgas de Recursos Hídricos</v>
      </c>
      <c r="D87" s="350"/>
      <c r="E87" s="350"/>
      <c r="F87" s="350"/>
      <c r="G87" s="350"/>
      <c r="H87" s="38">
        <f>H117</f>
        <v>82866.559999999998</v>
      </c>
    </row>
    <row r="88" spans="1:11" ht="24" x14ac:dyDescent="0.2">
      <c r="B88" s="75"/>
      <c r="C88" s="45" t="s">
        <v>109</v>
      </c>
      <c r="D88" s="45" t="s">
        <v>28</v>
      </c>
      <c r="E88" s="45" t="s">
        <v>110</v>
      </c>
      <c r="F88" s="45" t="s">
        <v>111</v>
      </c>
      <c r="G88" s="45" t="s">
        <v>112</v>
      </c>
      <c r="H88" s="78" t="s">
        <v>113</v>
      </c>
    </row>
    <row r="89" spans="1:11" x14ac:dyDescent="0.2">
      <c r="B89" s="75"/>
      <c r="C89" s="361" t="s">
        <v>190</v>
      </c>
      <c r="D89" s="361"/>
      <c r="E89" s="361"/>
      <c r="F89" s="361"/>
      <c r="G89" s="361"/>
      <c r="H89" s="361"/>
    </row>
    <row r="90" spans="1:11" x14ac:dyDescent="0.2">
      <c r="A90" s="112"/>
      <c r="B90" s="80" t="s">
        <v>116</v>
      </c>
      <c r="C90" s="81" t="s">
        <v>117</v>
      </c>
      <c r="D90" s="82">
        <v>1</v>
      </c>
      <c r="E90" s="82">
        <v>24</v>
      </c>
      <c r="F90" s="82" t="s">
        <v>118</v>
      </c>
      <c r="G90" s="83">
        <f>INDEX('TPU MAR-24'!$D$9:$D$999,MATCH(B90,'TPU MAR-24'!$A$9:$A$999,0))</f>
        <v>391.54</v>
      </c>
      <c r="H90" s="83">
        <f>D90*E90*G90</f>
        <v>9396.9600000000009</v>
      </c>
    </row>
    <row r="91" spans="1:11" x14ac:dyDescent="0.2">
      <c r="A91" s="112"/>
      <c r="B91" s="80" t="s">
        <v>123</v>
      </c>
      <c r="C91" s="81" t="s">
        <v>327</v>
      </c>
      <c r="D91" s="82">
        <v>1</v>
      </c>
      <c r="E91" s="82">
        <f>$K$33*$K$36*$K$15</f>
        <v>80</v>
      </c>
      <c r="F91" s="82" t="s">
        <v>118</v>
      </c>
      <c r="G91" s="83">
        <f>INDEX('TPU MAR-24'!$D$9:$D$999,MATCH(B91,'TPU MAR-24'!$A$9:$A$999,0))</f>
        <v>268.08</v>
      </c>
      <c r="H91" s="83">
        <f t="shared" ref="H91:H94" si="11">D91*E91*G91</f>
        <v>21446.399999999998</v>
      </c>
    </row>
    <row r="92" spans="1:11" x14ac:dyDescent="0.2">
      <c r="A92" s="88"/>
      <c r="B92" s="84" t="s">
        <v>140</v>
      </c>
      <c r="C92" s="81" t="s">
        <v>328</v>
      </c>
      <c r="D92" s="82">
        <v>1</v>
      </c>
      <c r="E92" s="82">
        <f>$K$33*$K$36*$K$15</f>
        <v>80</v>
      </c>
      <c r="F92" s="82" t="s">
        <v>118</v>
      </c>
      <c r="G92" s="83">
        <f>INDEX('TPU MAR-24'!$D$9:$D$999,MATCH(B92,'TPU MAR-24'!$A$9:$A$999,0))</f>
        <v>213.54</v>
      </c>
      <c r="H92" s="83">
        <f t="shared" si="11"/>
        <v>17083.2</v>
      </c>
    </row>
    <row r="93" spans="1:11" x14ac:dyDescent="0.2">
      <c r="A93" s="88"/>
      <c r="B93" s="84" t="s">
        <v>143</v>
      </c>
      <c r="C93" s="81" t="s">
        <v>200</v>
      </c>
      <c r="D93" s="82">
        <v>1</v>
      </c>
      <c r="E93" s="82">
        <v>32</v>
      </c>
      <c r="F93" s="82" t="s">
        <v>118</v>
      </c>
      <c r="G93" s="83">
        <f>INDEX('TPU MAR-24'!$D$9:$D$999,MATCH(B93,'TPU MAR-24'!$A$9:$A$999,0))</f>
        <v>94.41</v>
      </c>
      <c r="H93" s="83">
        <f t="shared" si="11"/>
        <v>3021.12</v>
      </c>
    </row>
    <row r="94" spans="1:11" x14ac:dyDescent="0.2">
      <c r="A94" s="88"/>
      <c r="B94" s="84" t="s">
        <v>146</v>
      </c>
      <c r="C94" s="81" t="s">
        <v>147</v>
      </c>
      <c r="D94" s="82">
        <v>1</v>
      </c>
      <c r="E94" s="82">
        <f>IF(AND($K$34=0),1*$K$15,IF(AND($K$34&gt;=1,$K$34&lt;=3),1*$K$15,IF(AND($K$34&gt;3,$K$34&lt;=6),1*$K$15,IF(AND($K$34&gt;6,$K$34&lt;=10),2*$K$15,IF($K$34&gt;10,3*$K$15,"")))))</f>
        <v>8</v>
      </c>
      <c r="F94" s="82" t="s">
        <v>118</v>
      </c>
      <c r="G94" s="83">
        <f>INDEX('TPU MAR-24'!$D$9:$D$999,MATCH(B94,'TPU MAR-24'!$A$9:$A$999,0))</f>
        <v>46.06</v>
      </c>
      <c r="H94" s="83">
        <f t="shared" si="11"/>
        <v>368.48</v>
      </c>
    </row>
    <row r="95" spans="1:11" x14ac:dyDescent="0.2">
      <c r="A95" s="136"/>
      <c r="B95" s="137"/>
      <c r="C95" s="129" t="s">
        <v>149</v>
      </c>
      <c r="D95" s="26"/>
      <c r="E95" s="82"/>
      <c r="F95" s="82"/>
      <c r="G95" s="83"/>
      <c r="H95" s="83"/>
    </row>
    <row r="96" spans="1:11" x14ac:dyDescent="0.2">
      <c r="A96" s="88"/>
      <c r="B96" s="84" t="s">
        <v>140</v>
      </c>
      <c r="C96" s="81" t="s">
        <v>329</v>
      </c>
      <c r="D96" s="82">
        <v>1</v>
      </c>
      <c r="E96" s="82">
        <f>(($K$33*$K$37)+($K$19))*$K$16</f>
        <v>50</v>
      </c>
      <c r="F96" s="82" t="s">
        <v>118</v>
      </c>
      <c r="G96" s="83">
        <f>INDEX('TPU MAR-24'!$D$9:$D$999,MATCH(B96,'TPU MAR-24'!$A$9:$A$999,0))</f>
        <v>213.54</v>
      </c>
      <c r="H96" s="83">
        <f t="shared" ref="H96:H99" si="12">D96*E96*G96</f>
        <v>10677</v>
      </c>
    </row>
    <row r="97" spans="1:10" x14ac:dyDescent="0.2">
      <c r="A97" s="88"/>
      <c r="B97" s="84" t="s">
        <v>153</v>
      </c>
      <c r="C97" s="81" t="s">
        <v>154</v>
      </c>
      <c r="D97" s="82">
        <v>1</v>
      </c>
      <c r="E97" s="82">
        <f>(($K$33*$K$37))*$K$16</f>
        <v>40</v>
      </c>
      <c r="F97" s="82" t="s">
        <v>118</v>
      </c>
      <c r="G97" s="83">
        <f>INDEX('TPU MAR-24'!$D$9:$D$999,MATCH(B97,'TPU MAR-24'!$A$9:$A$999,0))</f>
        <v>25.5</v>
      </c>
      <c r="H97" s="83">
        <f t="shared" si="12"/>
        <v>1020</v>
      </c>
    </row>
    <row r="98" spans="1:10" x14ac:dyDescent="0.2">
      <c r="A98" s="88"/>
      <c r="B98" s="84" t="s">
        <v>222</v>
      </c>
      <c r="C98" s="81" t="s">
        <v>330</v>
      </c>
      <c r="D98" s="82">
        <v>1</v>
      </c>
      <c r="E98" s="82">
        <f>ROUNDUP((($K$34/4)+$K$19),0)*$K$16</f>
        <v>20</v>
      </c>
      <c r="F98" s="82" t="s">
        <v>118</v>
      </c>
      <c r="G98" s="83">
        <f>INDEX('TPU MAR-24'!$D$9:$D$999,MATCH(B98,'TPU MAR-24'!$A$9:$A$999,0))</f>
        <v>41.65</v>
      </c>
      <c r="H98" s="83">
        <f t="shared" si="12"/>
        <v>833</v>
      </c>
    </row>
    <row r="99" spans="1:10" x14ac:dyDescent="0.2">
      <c r="A99" s="88"/>
      <c r="B99" s="84" t="s">
        <v>204</v>
      </c>
      <c r="C99" s="81" t="s">
        <v>205</v>
      </c>
      <c r="D99" s="82">
        <v>1</v>
      </c>
      <c r="E99" s="82">
        <f>ROUNDUP((($K$34/4)),0)*$K$16</f>
        <v>10</v>
      </c>
      <c r="F99" s="82" t="s">
        <v>118</v>
      </c>
      <c r="G99" s="83">
        <f>INDEX('TPU MAR-24'!$D$9:$D$999,MATCH(B99,'TPU MAR-24'!$A$9:$A$999,0))</f>
        <v>24.14</v>
      </c>
      <c r="H99" s="83">
        <f t="shared" si="12"/>
        <v>241.4</v>
      </c>
    </row>
    <row r="100" spans="1:10" x14ac:dyDescent="0.2">
      <c r="A100" s="132"/>
      <c r="B100" s="133"/>
      <c r="C100" s="357" t="s">
        <v>156</v>
      </c>
      <c r="D100" s="357"/>
      <c r="E100" s="357"/>
      <c r="F100" s="357"/>
      <c r="G100" s="357"/>
      <c r="H100" s="89">
        <f>SUM(H90:H99)</f>
        <v>64087.560000000005</v>
      </c>
    </row>
    <row r="101" spans="1:10" x14ac:dyDescent="0.2">
      <c r="A101" s="132"/>
      <c r="B101" s="133"/>
      <c r="C101" s="361" t="s">
        <v>158</v>
      </c>
      <c r="D101" s="361"/>
      <c r="E101" s="361"/>
      <c r="F101" s="361"/>
      <c r="G101" s="361"/>
      <c r="H101" s="361"/>
    </row>
    <row r="102" spans="1:10" x14ac:dyDescent="0.2">
      <c r="A102" s="132"/>
      <c r="B102" s="133"/>
      <c r="C102" s="81" t="s">
        <v>331</v>
      </c>
      <c r="D102" s="82">
        <f>D96</f>
        <v>1</v>
      </c>
      <c r="E102" s="82">
        <f>(($K$33*$K$37)+($K$19))</f>
        <v>5</v>
      </c>
      <c r="F102" s="82" t="s">
        <v>161</v>
      </c>
      <c r="G102" s="83">
        <f>'TPU MAR-24'!$C$52</f>
        <v>318.24</v>
      </c>
      <c r="H102" s="83">
        <f>D102*E102*G102</f>
        <v>1591.2</v>
      </c>
    </row>
    <row r="103" spans="1:10" x14ac:dyDescent="0.2">
      <c r="A103" s="132"/>
      <c r="B103" s="133"/>
      <c r="C103" s="81" t="s">
        <v>244</v>
      </c>
      <c r="D103" s="82">
        <f>D97</f>
        <v>1</v>
      </c>
      <c r="E103" s="82">
        <f>(($K$33*$K$37))</f>
        <v>4</v>
      </c>
      <c r="F103" s="82" t="s">
        <v>161</v>
      </c>
      <c r="G103" s="83">
        <f>'TPU MAR-24'!$C$53</f>
        <v>159.12</v>
      </c>
      <c r="H103" s="83">
        <f t="shared" ref="H103:H105" si="13">D103*E103*G103</f>
        <v>636.48</v>
      </c>
    </row>
    <row r="104" spans="1:10" x14ac:dyDescent="0.2">
      <c r="A104" s="132"/>
      <c r="B104" s="133"/>
      <c r="C104" s="81" t="s">
        <v>224</v>
      </c>
      <c r="D104" s="82">
        <f>D98</f>
        <v>1</v>
      </c>
      <c r="E104" s="82">
        <f>ROUNDUP((($K$34/4)+$K$19),0)</f>
        <v>2</v>
      </c>
      <c r="F104" s="82" t="s">
        <v>161</v>
      </c>
      <c r="G104" s="83">
        <f>'TPU MAR-24'!$C$52</f>
        <v>318.24</v>
      </c>
      <c r="H104" s="83">
        <f t="shared" si="13"/>
        <v>636.48</v>
      </c>
    </row>
    <row r="105" spans="1:10" x14ac:dyDescent="0.2">
      <c r="B105" s="75"/>
      <c r="C105" s="81" t="s">
        <v>211</v>
      </c>
      <c r="D105" s="82">
        <f>D99</f>
        <v>1</v>
      </c>
      <c r="E105" s="82">
        <f>ROUNDUP((($K$34/4)),0)</f>
        <v>1</v>
      </c>
      <c r="F105" s="82" t="s">
        <v>161</v>
      </c>
      <c r="G105" s="83">
        <f>'TPU MAR-24'!$C$53</f>
        <v>159.12</v>
      </c>
      <c r="H105" s="83">
        <f t="shared" si="13"/>
        <v>159.12</v>
      </c>
    </row>
    <row r="106" spans="1:10" x14ac:dyDescent="0.2">
      <c r="B106" s="75"/>
      <c r="C106" s="81" t="s">
        <v>167</v>
      </c>
      <c r="D106" s="26">
        <v>1</v>
      </c>
      <c r="E106" s="82">
        <v>1</v>
      </c>
      <c r="F106" s="82" t="s">
        <v>321</v>
      </c>
      <c r="G106" s="83">
        <v>1500</v>
      </c>
      <c r="H106" s="83">
        <f>D106*E106*G106</f>
        <v>1500</v>
      </c>
      <c r="J106" s="34"/>
    </row>
    <row r="107" spans="1:10" x14ac:dyDescent="0.2">
      <c r="B107" s="75"/>
      <c r="C107" s="81" t="s">
        <v>312</v>
      </c>
      <c r="D107" s="26">
        <f>$K$34</f>
        <v>3</v>
      </c>
      <c r="E107" s="82">
        <v>1</v>
      </c>
      <c r="F107" s="82" t="s">
        <v>168</v>
      </c>
      <c r="G107" s="83">
        <f>$K$39</f>
        <v>3100</v>
      </c>
      <c r="H107" s="83">
        <f t="shared" ref="H107:H112" si="14">D107*E107*G107</f>
        <v>9300</v>
      </c>
    </row>
    <row r="108" spans="1:10" x14ac:dyDescent="0.2">
      <c r="B108" s="75"/>
      <c r="C108" s="81" t="s">
        <v>332</v>
      </c>
      <c r="D108" s="26">
        <f>$K$34</f>
        <v>3</v>
      </c>
      <c r="E108" s="82">
        <v>1</v>
      </c>
      <c r="F108" s="82" t="s">
        <v>168</v>
      </c>
      <c r="G108" s="83">
        <f>$K$40</f>
        <v>120</v>
      </c>
      <c r="H108" s="83">
        <f t="shared" si="14"/>
        <v>360</v>
      </c>
    </row>
    <row r="109" spans="1:10" x14ac:dyDescent="0.2">
      <c r="A109" s="132"/>
      <c r="B109" s="133"/>
      <c r="C109" s="81" t="s">
        <v>317</v>
      </c>
      <c r="D109" s="82">
        <f>D96</f>
        <v>1</v>
      </c>
      <c r="E109" s="82">
        <f>ROUNDUP((($K$34/4)+$K$19),0)</f>
        <v>2</v>
      </c>
      <c r="F109" s="26" t="s">
        <v>161</v>
      </c>
      <c r="G109" s="95">
        <f>'TPU MAR-24'!$D$42</f>
        <v>193.64</v>
      </c>
      <c r="H109" s="83">
        <f t="shared" si="14"/>
        <v>387.28</v>
      </c>
    </row>
    <row r="110" spans="1:10" x14ac:dyDescent="0.2">
      <c r="A110" s="132"/>
      <c r="B110" s="133"/>
      <c r="C110" s="81" t="s">
        <v>318</v>
      </c>
      <c r="D110" s="82">
        <v>1</v>
      </c>
      <c r="E110" s="82">
        <f>$K$6</f>
        <v>280</v>
      </c>
      <c r="F110" s="82" t="s">
        <v>173</v>
      </c>
      <c r="G110" s="95">
        <f>'TPU MAR-24'!$D$40</f>
        <v>1.29</v>
      </c>
      <c r="H110" s="83">
        <f t="shared" si="14"/>
        <v>361.2</v>
      </c>
    </row>
    <row r="111" spans="1:10" ht="12" customHeight="1" x14ac:dyDescent="0.2">
      <c r="A111" s="132"/>
      <c r="B111" s="133"/>
      <c r="C111" s="81" t="s">
        <v>333</v>
      </c>
      <c r="D111" s="82">
        <f>D98</f>
        <v>1</v>
      </c>
      <c r="E111" s="82">
        <f>(($K$33*$K$37)+($K$19))</f>
        <v>5</v>
      </c>
      <c r="F111" s="26" t="s">
        <v>161</v>
      </c>
      <c r="G111" s="95">
        <f>'TPU MAR-24'!$D$42</f>
        <v>193.64</v>
      </c>
      <c r="H111" s="83">
        <f t="shared" si="14"/>
        <v>968.19999999999993</v>
      </c>
    </row>
    <row r="112" spans="1:10" x14ac:dyDescent="0.2">
      <c r="A112" s="132"/>
      <c r="B112" s="133"/>
      <c r="C112" s="81" t="s">
        <v>839</v>
      </c>
      <c r="D112" s="114">
        <v>1</v>
      </c>
      <c r="E112" s="82">
        <f>$K$6</f>
        <v>280</v>
      </c>
      <c r="F112" s="82" t="s">
        <v>173</v>
      </c>
      <c r="G112" s="95">
        <f>'TPU MAR-24'!$D$40</f>
        <v>1.29</v>
      </c>
      <c r="H112" s="83">
        <f t="shared" si="14"/>
        <v>361.2</v>
      </c>
    </row>
    <row r="113" spans="1:10" x14ac:dyDescent="0.2">
      <c r="A113" s="132"/>
      <c r="B113" s="133"/>
      <c r="C113" s="354" t="s">
        <v>175</v>
      </c>
      <c r="D113" s="355"/>
      <c r="E113" s="355"/>
      <c r="F113" s="355"/>
      <c r="G113" s="356"/>
      <c r="H113" s="97">
        <f>SUM(H102:H112)</f>
        <v>16261.160000000003</v>
      </c>
    </row>
    <row r="114" spans="1:10" x14ac:dyDescent="0.2">
      <c r="A114" s="132"/>
      <c r="B114" s="133"/>
      <c r="C114" s="351" t="s">
        <v>177</v>
      </c>
      <c r="D114" s="352"/>
      <c r="E114" s="352"/>
      <c r="F114" s="352"/>
      <c r="G114" s="352"/>
      <c r="H114" s="353"/>
    </row>
    <row r="115" spans="1:10" x14ac:dyDescent="0.2">
      <c r="B115" s="75"/>
      <c r="C115" s="354" t="s">
        <v>179</v>
      </c>
      <c r="D115" s="355"/>
      <c r="E115" s="355"/>
      <c r="F115" s="355"/>
      <c r="G115" s="356"/>
      <c r="H115" s="52">
        <f>H100+H113</f>
        <v>80348.72</v>
      </c>
    </row>
    <row r="116" spans="1:10" x14ac:dyDescent="0.2">
      <c r="B116" s="80"/>
      <c r="C116" s="358" t="s">
        <v>334</v>
      </c>
      <c r="D116" s="359"/>
      <c r="E116" s="359"/>
      <c r="F116" s="360"/>
      <c r="G116" s="97">
        <f>$K$34*'TPU MAR-24'!$D$13</f>
        <v>2517.84</v>
      </c>
      <c r="H116" s="42"/>
    </row>
    <row r="117" spans="1:10" x14ac:dyDescent="0.2">
      <c r="B117" s="80"/>
      <c r="C117" s="357" t="s">
        <v>267</v>
      </c>
      <c r="D117" s="357"/>
      <c r="E117" s="357"/>
      <c r="F117" s="357"/>
      <c r="G117" s="357"/>
      <c r="H117" s="89">
        <f>H115+G116</f>
        <v>82866.559999999998</v>
      </c>
    </row>
    <row r="118" spans="1:10" x14ac:dyDescent="0.2">
      <c r="B118" s="80"/>
      <c r="C118" s="116"/>
      <c r="D118" s="116"/>
      <c r="E118" s="116"/>
      <c r="F118" s="116"/>
      <c r="G118" s="116"/>
      <c r="H118" s="117"/>
    </row>
    <row r="119" spans="1:10" x14ac:dyDescent="0.2">
      <c r="C119" s="125"/>
      <c r="D119" s="123"/>
      <c r="E119" s="123"/>
      <c r="F119" s="123"/>
      <c r="G119" s="123"/>
      <c r="H119" s="123"/>
    </row>
    <row r="120" spans="1:10" x14ac:dyDescent="0.2">
      <c r="A120" s="126" t="str">
        <f>CAPEX!$A$8</f>
        <v>1.4</v>
      </c>
      <c r="B120" s="77"/>
      <c r="C120" s="349" t="str">
        <f>CAPEX!$B$8</f>
        <v>Elaboração de Relatório de Avaliação de Impacto aos Bens Culturais Tombados, Valorados e Registrados para IPHAN</v>
      </c>
      <c r="D120" s="350"/>
      <c r="E120" s="350"/>
      <c r="F120" s="350"/>
      <c r="G120" s="350"/>
      <c r="H120" s="38">
        <f>H134</f>
        <v>56790.239999999998</v>
      </c>
    </row>
    <row r="121" spans="1:10" ht="24" x14ac:dyDescent="0.2">
      <c r="A121" s="112"/>
      <c r="C121" s="45" t="s">
        <v>109</v>
      </c>
      <c r="D121" s="45" t="s">
        <v>28</v>
      </c>
      <c r="E121" s="45" t="s">
        <v>110</v>
      </c>
      <c r="F121" s="45" t="s">
        <v>111</v>
      </c>
      <c r="G121" s="45" t="s">
        <v>112</v>
      </c>
      <c r="H121" s="78" t="s">
        <v>113</v>
      </c>
    </row>
    <row r="122" spans="1:10" x14ac:dyDescent="0.2">
      <c r="A122" s="112"/>
      <c r="C122" s="361" t="s">
        <v>190</v>
      </c>
      <c r="D122" s="361"/>
      <c r="E122" s="361"/>
      <c r="F122" s="361"/>
      <c r="G122" s="361"/>
      <c r="H122" s="361"/>
    </row>
    <row r="123" spans="1:10" x14ac:dyDescent="0.2">
      <c r="A123" s="112"/>
      <c r="B123" s="80" t="s">
        <v>116</v>
      </c>
      <c r="C123" s="81" t="s">
        <v>117</v>
      </c>
      <c r="D123" s="82">
        <v>1</v>
      </c>
      <c r="E123" s="82">
        <v>40</v>
      </c>
      <c r="F123" s="82" t="s">
        <v>118</v>
      </c>
      <c r="G123" s="83">
        <f>INDEX('TPU MAR-24'!$D$9:$D$999,MATCH(B123,'TPU MAR-24'!$A$9:$A$999,0))</f>
        <v>391.54</v>
      </c>
      <c r="H123" s="83">
        <f>IF(D123&lt;&gt;"",D123*E123*G123,"")</f>
        <v>15661.6</v>
      </c>
    </row>
    <row r="124" spans="1:10" x14ac:dyDescent="0.2">
      <c r="A124" s="88"/>
      <c r="B124" s="80" t="s">
        <v>128</v>
      </c>
      <c r="C124" s="81" t="s">
        <v>319</v>
      </c>
      <c r="D124" s="82">
        <v>1</v>
      </c>
      <c r="E124" s="82">
        <v>80</v>
      </c>
      <c r="F124" s="82" t="s">
        <v>118</v>
      </c>
      <c r="G124" s="83">
        <f>INDEX('TPU MAR-24'!$D$9:$D$999,MATCH(B124,'TPU MAR-24'!$A$9:$A$999,0))</f>
        <v>263.36</v>
      </c>
      <c r="H124" s="83">
        <f t="shared" ref="H124:H125" si="15">IF(D124&lt;&gt;"",D124*E124*G124,"")</f>
        <v>21068.800000000003</v>
      </c>
    </row>
    <row r="125" spans="1:10" x14ac:dyDescent="0.2">
      <c r="A125" s="88"/>
      <c r="B125" s="84" t="s">
        <v>137</v>
      </c>
      <c r="C125" s="81" t="s">
        <v>320</v>
      </c>
      <c r="D125" s="82">
        <v>1</v>
      </c>
      <c r="E125" s="82">
        <v>80</v>
      </c>
      <c r="F125" s="82" t="s">
        <v>118</v>
      </c>
      <c r="G125" s="83">
        <f>INDEX('TPU MAR-24'!$D$9:$D$999,MATCH(B125,'TPU MAR-24'!$A$9:$A$999,0))</f>
        <v>208.51</v>
      </c>
      <c r="H125" s="83">
        <f t="shared" si="15"/>
        <v>16680.8</v>
      </c>
    </row>
    <row r="126" spans="1:10" x14ac:dyDescent="0.2">
      <c r="A126" s="132"/>
      <c r="B126" s="84" t="s">
        <v>143</v>
      </c>
      <c r="C126" s="81" t="s">
        <v>200</v>
      </c>
      <c r="D126" s="82">
        <v>1</v>
      </c>
      <c r="E126" s="82">
        <v>16</v>
      </c>
      <c r="F126" s="82" t="s">
        <v>118</v>
      </c>
      <c r="G126" s="83">
        <f>INDEX('TPU MAR-24'!$D$9:$D$999,MATCH(B126,'TPU MAR-24'!$A$9:$A$999,0))</f>
        <v>94.41</v>
      </c>
      <c r="H126" s="83">
        <f>D126*E126*G126</f>
        <v>1510.56</v>
      </c>
    </row>
    <row r="127" spans="1:10" x14ac:dyDescent="0.2">
      <c r="B127" s="84" t="s">
        <v>146</v>
      </c>
      <c r="C127" s="81" t="s">
        <v>147</v>
      </c>
      <c r="D127" s="82">
        <v>1</v>
      </c>
      <c r="E127" s="82">
        <f>IF(AND($K$4&gt;=0,$K$4&lt;50),1*$K$15,IF(AND($K$4&gt;=50,$K$4&lt;100),1*$K$15,IF(AND($K$4&gt;=100,$K$4&lt;200),1*$K$15,IF($K$4&gt;=200,1*$K$15,""))))</f>
        <v>8</v>
      </c>
      <c r="F127" s="82" t="s">
        <v>118</v>
      </c>
      <c r="G127" s="83">
        <f>INDEX('TPU MAR-24'!$D$9:$D$999,MATCH(B127,'TPU MAR-24'!$A$9:$A$999,0))</f>
        <v>46.06</v>
      </c>
      <c r="H127" s="83">
        <f t="shared" ref="H127" si="16">IF(D127&lt;&gt;"",D127*E127*G127,"")</f>
        <v>368.48</v>
      </c>
      <c r="J127" s="34"/>
    </row>
    <row r="128" spans="1:10" x14ac:dyDescent="0.2">
      <c r="B128" s="75"/>
      <c r="C128" s="357" t="s">
        <v>156</v>
      </c>
      <c r="D128" s="357"/>
      <c r="E128" s="357"/>
      <c r="F128" s="357"/>
      <c r="G128" s="357"/>
      <c r="H128" s="89">
        <f>SUM(H123:H127)</f>
        <v>55290.239999999998</v>
      </c>
      <c r="J128" s="34"/>
    </row>
    <row r="129" spans="1:10" x14ac:dyDescent="0.2">
      <c r="B129" s="75"/>
      <c r="C129" s="361" t="s">
        <v>158</v>
      </c>
      <c r="D129" s="361"/>
      <c r="E129" s="361"/>
      <c r="F129" s="361"/>
      <c r="G129" s="361"/>
      <c r="H129" s="361"/>
      <c r="J129" s="34"/>
    </row>
    <row r="130" spans="1:10" x14ac:dyDescent="0.2">
      <c r="B130" s="75"/>
      <c r="C130" s="81" t="s">
        <v>167</v>
      </c>
      <c r="D130" s="26">
        <v>1</v>
      </c>
      <c r="E130" s="82">
        <v>1</v>
      </c>
      <c r="F130" s="82" t="s">
        <v>321</v>
      </c>
      <c r="G130" s="83">
        <v>1500</v>
      </c>
      <c r="H130" s="83">
        <f>D130*E130*G130</f>
        <v>1500</v>
      </c>
      <c r="J130" s="34"/>
    </row>
    <row r="131" spans="1:10" x14ac:dyDescent="0.2">
      <c r="A131" s="132"/>
      <c r="B131" s="133"/>
      <c r="C131" s="357" t="s">
        <v>175</v>
      </c>
      <c r="D131" s="357"/>
      <c r="E131" s="357"/>
      <c r="F131" s="357"/>
      <c r="G131" s="357"/>
      <c r="H131" s="97">
        <f>SUM(H130:H130)</f>
        <v>1500</v>
      </c>
      <c r="J131" s="34"/>
    </row>
    <row r="132" spans="1:10" x14ac:dyDescent="0.2">
      <c r="B132" s="75"/>
      <c r="C132" s="361" t="s">
        <v>177</v>
      </c>
      <c r="D132" s="361"/>
      <c r="E132" s="361"/>
      <c r="F132" s="361"/>
      <c r="G132" s="361"/>
      <c r="H132" s="361"/>
      <c r="J132" s="34"/>
    </row>
    <row r="133" spans="1:10" x14ac:dyDescent="0.2">
      <c r="B133" s="80"/>
      <c r="C133" s="357" t="s">
        <v>179</v>
      </c>
      <c r="D133" s="357"/>
      <c r="E133" s="357"/>
      <c r="F133" s="357"/>
      <c r="G133" s="357"/>
      <c r="H133" s="97">
        <f>H128+H131</f>
        <v>56790.239999999998</v>
      </c>
      <c r="J133" s="34"/>
    </row>
    <row r="134" spans="1:10" x14ac:dyDescent="0.2">
      <c r="B134" s="80"/>
      <c r="C134" s="357" t="s">
        <v>267</v>
      </c>
      <c r="D134" s="357"/>
      <c r="E134" s="357"/>
      <c r="F134" s="357"/>
      <c r="G134" s="357"/>
      <c r="H134" s="89">
        <f>H133</f>
        <v>56790.239999999998</v>
      </c>
      <c r="J134" s="34"/>
    </row>
    <row r="135" spans="1:10" x14ac:dyDescent="0.2">
      <c r="B135" s="8"/>
      <c r="C135" s="125"/>
      <c r="D135" s="123"/>
      <c r="E135" s="123"/>
      <c r="F135" s="123"/>
      <c r="G135" s="123"/>
      <c r="H135" s="123"/>
      <c r="J135" s="34"/>
    </row>
    <row r="136" spans="1:10" x14ac:dyDescent="0.2">
      <c r="A136" s="116"/>
      <c r="B136" s="134"/>
      <c r="C136" s="125"/>
      <c r="D136" s="123"/>
      <c r="E136" s="123"/>
      <c r="F136" s="123"/>
      <c r="G136" s="123"/>
      <c r="H136" s="123"/>
      <c r="J136" s="34"/>
    </row>
    <row r="137" spans="1:10" x14ac:dyDescent="0.2">
      <c r="A137" s="126" t="str">
        <f>CAPEX!$A$9</f>
        <v>1.5</v>
      </c>
      <c r="B137" s="77"/>
      <c r="C137" s="349" t="str">
        <f>CAPEX!$B$9</f>
        <v>Elaboração de Projeto de Avaliação de Impacto Arqueológico para IPHAN</v>
      </c>
      <c r="D137" s="350"/>
      <c r="E137" s="350"/>
      <c r="F137" s="350"/>
      <c r="G137" s="350"/>
      <c r="H137" s="38">
        <f>H151</f>
        <v>22320.16</v>
      </c>
      <c r="J137" s="34"/>
    </row>
    <row r="138" spans="1:10" ht="24" x14ac:dyDescent="0.2">
      <c r="A138" s="112"/>
      <c r="C138" s="45" t="s">
        <v>109</v>
      </c>
      <c r="D138" s="45" t="s">
        <v>28</v>
      </c>
      <c r="E138" s="45" t="s">
        <v>110</v>
      </c>
      <c r="F138" s="45" t="s">
        <v>111</v>
      </c>
      <c r="G138" s="45" t="s">
        <v>112</v>
      </c>
      <c r="H138" s="78" t="s">
        <v>113</v>
      </c>
      <c r="J138" s="34"/>
    </row>
    <row r="139" spans="1:10" x14ac:dyDescent="0.2">
      <c r="A139" s="112"/>
      <c r="C139" s="361" t="s">
        <v>190</v>
      </c>
      <c r="D139" s="361"/>
      <c r="E139" s="361"/>
      <c r="F139" s="361"/>
      <c r="G139" s="361"/>
      <c r="H139" s="361"/>
      <c r="J139" s="34"/>
    </row>
    <row r="140" spans="1:10" x14ac:dyDescent="0.2">
      <c r="A140" s="112"/>
      <c r="B140" s="80" t="s">
        <v>116</v>
      </c>
      <c r="C140" s="81" t="s">
        <v>117</v>
      </c>
      <c r="D140" s="82">
        <v>1</v>
      </c>
      <c r="E140" s="82">
        <v>16</v>
      </c>
      <c r="F140" s="82" t="s">
        <v>118</v>
      </c>
      <c r="G140" s="83">
        <f>INDEX('TPU MAR-24'!$D$9:$D$999,MATCH(B140,'TPU MAR-24'!$A$9:$A$999,0))</f>
        <v>391.54</v>
      </c>
      <c r="H140" s="83">
        <f>IF(D140&lt;&gt;"",D140*E140*G140,"")</f>
        <v>6264.64</v>
      </c>
      <c r="J140" s="34"/>
    </row>
    <row r="141" spans="1:10" x14ac:dyDescent="0.2">
      <c r="A141" s="88"/>
      <c r="B141" s="80" t="s">
        <v>128</v>
      </c>
      <c r="C141" s="81" t="s">
        <v>319</v>
      </c>
      <c r="D141" s="82">
        <v>1</v>
      </c>
      <c r="E141" s="82">
        <v>32</v>
      </c>
      <c r="F141" s="82" t="s">
        <v>118</v>
      </c>
      <c r="G141" s="83">
        <f>INDEX('TPU MAR-24'!$D$9:$D$999,MATCH(B141,'TPU MAR-24'!$A$9:$A$999,0))</f>
        <v>263.36</v>
      </c>
      <c r="H141" s="83">
        <f t="shared" ref="H141:H144" si="17">IF(D141&lt;&gt;"",D141*E141*G141,"")</f>
        <v>8427.52</v>
      </c>
      <c r="J141" s="34"/>
    </row>
    <row r="142" spans="1:10" x14ac:dyDescent="0.2">
      <c r="A142" s="88"/>
      <c r="B142" s="84" t="s">
        <v>137</v>
      </c>
      <c r="C142" s="81" t="s">
        <v>320</v>
      </c>
      <c r="D142" s="82">
        <v>1</v>
      </c>
      <c r="E142" s="82">
        <f>IF(AND($K$4&gt;=0,$K$4&lt;50),3*$K$15,IF(AND($K$4&gt;=50,$K$4&lt;100),3*$K$15,IF(AND($K$4&gt;=100,$K$4&lt;200),4*$K$15,IF($K$4&gt;=200,4*$K$15,""))))</f>
        <v>24</v>
      </c>
      <c r="F142" s="82" t="s">
        <v>118</v>
      </c>
      <c r="G142" s="83">
        <f>INDEX('TPU MAR-24'!$D$9:$D$999,MATCH(B142,'TPU MAR-24'!$A$9:$A$999,0))</f>
        <v>208.51</v>
      </c>
      <c r="H142" s="83">
        <f t="shared" si="17"/>
        <v>5004.24</v>
      </c>
      <c r="J142" s="34"/>
    </row>
    <row r="143" spans="1:10" x14ac:dyDescent="0.2">
      <c r="A143" s="132"/>
      <c r="B143" s="84" t="s">
        <v>143</v>
      </c>
      <c r="C143" s="81" t="s">
        <v>200</v>
      </c>
      <c r="D143" s="82">
        <v>1</v>
      </c>
      <c r="E143" s="82">
        <f>IF(AND($K$4&gt;=0,$K$4&lt;50),1*$K$15,IF(AND($K$4&gt;=50,$K$4&lt;100),1*$K$15,IF(AND($K$4&gt;=100,$K$4&lt;200),1*$K$15,IF($K$4&gt;=200,2*$K$15,""))))</f>
        <v>8</v>
      </c>
      <c r="F143" s="82" t="s">
        <v>118</v>
      </c>
      <c r="G143" s="83">
        <f>INDEX('TPU MAR-24'!$D$9:$D$999,MATCH(B143,'TPU MAR-24'!$A$9:$A$999,0))</f>
        <v>94.41</v>
      </c>
      <c r="H143" s="83">
        <f t="shared" si="17"/>
        <v>755.28</v>
      </c>
      <c r="J143" s="34"/>
    </row>
    <row r="144" spans="1:10" x14ac:dyDescent="0.2">
      <c r="B144" s="84" t="s">
        <v>146</v>
      </c>
      <c r="C144" s="81" t="s">
        <v>147</v>
      </c>
      <c r="D144" s="82">
        <v>1</v>
      </c>
      <c r="E144" s="82">
        <f>IF(AND($K$4&gt;=0,$K$4&lt;50),1*$K$15,IF(AND($K$4&gt;=50,$K$4&lt;100),1*$K$15,IF(AND($K$4&gt;=100,$K$4&lt;200),1*$K$15,IF($K$4&gt;=200,1*$K$15,""))))</f>
        <v>8</v>
      </c>
      <c r="F144" s="82" t="s">
        <v>118</v>
      </c>
      <c r="G144" s="83">
        <f>INDEX('TPU MAR-24'!$D$9:$D$999,MATCH(B144,'TPU MAR-24'!$A$9:$A$999,0))</f>
        <v>46.06</v>
      </c>
      <c r="H144" s="83">
        <f t="shared" si="17"/>
        <v>368.48</v>
      </c>
      <c r="J144" s="34"/>
    </row>
    <row r="145" spans="1:10" x14ac:dyDescent="0.2">
      <c r="B145" s="75"/>
      <c r="C145" s="357" t="s">
        <v>156</v>
      </c>
      <c r="D145" s="357"/>
      <c r="E145" s="357"/>
      <c r="F145" s="357"/>
      <c r="G145" s="357"/>
      <c r="H145" s="89">
        <f>SUM(H140:H144)</f>
        <v>20820.16</v>
      </c>
      <c r="J145" s="34"/>
    </row>
    <row r="146" spans="1:10" x14ac:dyDescent="0.2">
      <c r="B146" s="75"/>
      <c r="C146" s="361" t="s">
        <v>158</v>
      </c>
      <c r="D146" s="361"/>
      <c r="E146" s="361"/>
      <c r="F146" s="361"/>
      <c r="G146" s="361"/>
      <c r="H146" s="361"/>
      <c r="J146" s="34"/>
    </row>
    <row r="147" spans="1:10" x14ac:dyDescent="0.2">
      <c r="B147" s="75"/>
      <c r="C147" s="81" t="s">
        <v>167</v>
      </c>
      <c r="D147" s="26">
        <v>1</v>
      </c>
      <c r="E147" s="82">
        <v>1</v>
      </c>
      <c r="F147" s="82" t="s">
        <v>321</v>
      </c>
      <c r="G147" s="83">
        <v>1500</v>
      </c>
      <c r="H147" s="83">
        <f>IF(D147&lt;&gt;"",D147*E147*G147,"")</f>
        <v>1500</v>
      </c>
      <c r="J147" s="34"/>
    </row>
    <row r="148" spans="1:10" x14ac:dyDescent="0.2">
      <c r="A148" s="132"/>
      <c r="B148" s="133"/>
      <c r="C148" s="357" t="s">
        <v>175</v>
      </c>
      <c r="D148" s="357"/>
      <c r="E148" s="357"/>
      <c r="F148" s="357"/>
      <c r="G148" s="357"/>
      <c r="H148" s="97">
        <f>SUM(H147:H147)</f>
        <v>1500</v>
      </c>
      <c r="J148" s="34"/>
    </row>
    <row r="149" spans="1:10" x14ac:dyDescent="0.2">
      <c r="B149" s="75"/>
      <c r="C149" s="361" t="s">
        <v>177</v>
      </c>
      <c r="D149" s="361"/>
      <c r="E149" s="361"/>
      <c r="F149" s="361"/>
      <c r="G149" s="361"/>
      <c r="H149" s="361"/>
      <c r="J149" s="34"/>
    </row>
    <row r="150" spans="1:10" x14ac:dyDescent="0.2">
      <c r="B150" s="75"/>
      <c r="C150" s="357" t="s">
        <v>179</v>
      </c>
      <c r="D150" s="357"/>
      <c r="E150" s="357"/>
      <c r="F150" s="357"/>
      <c r="G150" s="357"/>
      <c r="H150" s="97">
        <f>H145+H148</f>
        <v>22320.16</v>
      </c>
      <c r="J150" s="34"/>
    </row>
    <row r="151" spans="1:10" x14ac:dyDescent="0.2">
      <c r="B151" s="75"/>
      <c r="C151" s="357" t="s">
        <v>267</v>
      </c>
      <c r="D151" s="357"/>
      <c r="E151" s="357"/>
      <c r="F151" s="357"/>
      <c r="G151" s="357"/>
      <c r="H151" s="89">
        <f>H150</f>
        <v>22320.16</v>
      </c>
      <c r="J151" s="34"/>
    </row>
    <row r="152" spans="1:10" x14ac:dyDescent="0.2">
      <c r="B152" s="8"/>
      <c r="C152" s="116"/>
      <c r="D152" s="116"/>
      <c r="E152" s="116"/>
      <c r="F152" s="116"/>
      <c r="G152" s="116"/>
      <c r="H152" s="117"/>
      <c r="J152" s="34"/>
    </row>
    <row r="153" spans="1:10" x14ac:dyDescent="0.2">
      <c r="A153" s="116"/>
      <c r="B153" s="134"/>
      <c r="C153" s="116"/>
      <c r="D153" s="116"/>
      <c r="E153" s="116"/>
      <c r="F153" s="116"/>
      <c r="G153" s="116"/>
      <c r="H153" s="117"/>
      <c r="J153" s="34"/>
    </row>
    <row r="154" spans="1:10" ht="12.75" customHeight="1" x14ac:dyDescent="0.2">
      <c r="A154" s="126" t="str">
        <f>CAPEX!$A$10</f>
        <v>1.6</v>
      </c>
      <c r="B154" s="77"/>
      <c r="C154" s="349" t="str">
        <f>CAPEX!$B$10</f>
        <v>Elaboração de Relatório de Avaliação de Impacto ao Patrimônio Arqueológico para IPHAN</v>
      </c>
      <c r="D154" s="350"/>
      <c r="E154" s="350"/>
      <c r="F154" s="350"/>
      <c r="G154" s="350"/>
      <c r="H154" s="38">
        <f>H178</f>
        <v>52906.80999999999</v>
      </c>
      <c r="J154" s="34"/>
    </row>
    <row r="155" spans="1:10" ht="24" x14ac:dyDescent="0.2">
      <c r="A155" s="112"/>
      <c r="C155" s="45" t="s">
        <v>109</v>
      </c>
      <c r="D155" s="45" t="s">
        <v>28</v>
      </c>
      <c r="E155" s="45" t="s">
        <v>110</v>
      </c>
      <c r="F155" s="45" t="s">
        <v>111</v>
      </c>
      <c r="G155" s="45" t="s">
        <v>112</v>
      </c>
      <c r="H155" s="78" t="s">
        <v>113</v>
      </c>
      <c r="J155" s="34"/>
    </row>
    <row r="156" spans="1:10" x14ac:dyDescent="0.2">
      <c r="A156" s="112"/>
      <c r="C156" s="361" t="s">
        <v>190</v>
      </c>
      <c r="D156" s="361"/>
      <c r="E156" s="361"/>
      <c r="F156" s="361"/>
      <c r="G156" s="361"/>
      <c r="H156" s="361"/>
      <c r="J156" s="34"/>
    </row>
    <row r="157" spans="1:10" x14ac:dyDescent="0.2">
      <c r="A157" s="112"/>
      <c r="B157" s="80" t="s">
        <v>116</v>
      </c>
      <c r="C157" s="81" t="s">
        <v>117</v>
      </c>
      <c r="D157" s="82">
        <v>1</v>
      </c>
      <c r="E157" s="82">
        <v>8</v>
      </c>
      <c r="F157" s="82" t="s">
        <v>118</v>
      </c>
      <c r="G157" s="83">
        <f>INDEX('TPU MAR-24'!$D$9:$D$999,MATCH(B157,'TPU MAR-24'!$A$9:$A$999,0))</f>
        <v>391.54</v>
      </c>
      <c r="H157" s="83">
        <f>IF(D157&lt;&gt;"",D157*E157*G157,"")</f>
        <v>3132.32</v>
      </c>
      <c r="J157" s="34"/>
    </row>
    <row r="158" spans="1:10" x14ac:dyDescent="0.2">
      <c r="A158" s="112"/>
      <c r="B158" s="80" t="s">
        <v>128</v>
      </c>
      <c r="C158" s="81" t="s">
        <v>319</v>
      </c>
      <c r="D158" s="82">
        <v>1</v>
      </c>
      <c r="E158" s="82">
        <v>24</v>
      </c>
      <c r="F158" s="82" t="s">
        <v>118</v>
      </c>
      <c r="G158" s="83">
        <f>INDEX('TPU MAR-24'!$D$9:$D$999,MATCH(B158,'TPU MAR-24'!$A$9:$A$999,0))</f>
        <v>263.36</v>
      </c>
      <c r="H158" s="83">
        <f t="shared" ref="H158" si="18">IF(D158&lt;&gt;"",D158*E158*G158,"")</f>
        <v>6320.64</v>
      </c>
      <c r="J158" s="34"/>
    </row>
    <row r="159" spans="1:10" x14ac:dyDescent="0.2">
      <c r="A159" s="88"/>
      <c r="B159" s="84" t="s">
        <v>137</v>
      </c>
      <c r="C159" s="81" t="s">
        <v>320</v>
      </c>
      <c r="D159" s="82">
        <f>D164</f>
        <v>1</v>
      </c>
      <c r="E159" s="82">
        <v>24</v>
      </c>
      <c r="F159" s="82" t="s">
        <v>118</v>
      </c>
      <c r="G159" s="83">
        <f>INDEX('TPU MAR-24'!$D$9:$D$999,MATCH(B159,'TPU MAR-24'!$A$9:$A$999,0))</f>
        <v>208.51</v>
      </c>
      <c r="H159" s="83">
        <f>IF(D159&lt;&gt;"",D159*E159*G159,"")</f>
        <v>5004.24</v>
      </c>
      <c r="J159" s="34"/>
    </row>
    <row r="160" spans="1:10" x14ac:dyDescent="0.2">
      <c r="A160" s="88"/>
      <c r="B160" s="84" t="s">
        <v>137</v>
      </c>
      <c r="C160" s="81" t="s">
        <v>359</v>
      </c>
      <c r="D160" s="82">
        <v>1</v>
      </c>
      <c r="E160" s="82">
        <v>60</v>
      </c>
      <c r="F160" s="82" t="s">
        <v>321</v>
      </c>
      <c r="G160" s="83">
        <f>INDEX('TPU MAR-24'!$D$9:$D$999,MATCH(B160,'TPU MAR-24'!$A$9:$A$999,0))</f>
        <v>208.51</v>
      </c>
      <c r="H160" s="83">
        <f t="shared" ref="H160:H162" si="19">IF(D160&lt;&gt;"",D160*E160*G160,"")</f>
        <v>12510.599999999999</v>
      </c>
      <c r="J160" s="34"/>
    </row>
    <row r="161" spans="1:10" x14ac:dyDescent="0.2">
      <c r="A161" s="132"/>
      <c r="B161" s="84" t="s">
        <v>143</v>
      </c>
      <c r="C161" s="81" t="s">
        <v>200</v>
      </c>
      <c r="D161" s="82">
        <v>1</v>
      </c>
      <c r="E161" s="82">
        <v>16</v>
      </c>
      <c r="F161" s="82" t="s">
        <v>118</v>
      </c>
      <c r="G161" s="83">
        <f>INDEX('TPU MAR-24'!$D$9:$D$999,MATCH(B161,'TPU MAR-24'!$A$9:$A$999,0))</f>
        <v>94.41</v>
      </c>
      <c r="H161" s="83">
        <f t="shared" si="19"/>
        <v>1510.56</v>
      </c>
      <c r="J161" s="34"/>
    </row>
    <row r="162" spans="1:10" x14ac:dyDescent="0.2">
      <c r="A162" s="112"/>
      <c r="B162" s="84" t="s">
        <v>146</v>
      </c>
      <c r="C162" s="81" t="s">
        <v>360</v>
      </c>
      <c r="D162" s="82">
        <v>1</v>
      </c>
      <c r="E162" s="82">
        <v>8</v>
      </c>
      <c r="F162" s="82" t="s">
        <v>118</v>
      </c>
      <c r="G162" s="83">
        <f>INDEX('TPU MAR-24'!$D$9:$D$999,MATCH(B162,'TPU MAR-24'!$A$9:$A$999,0))</f>
        <v>46.06</v>
      </c>
      <c r="H162" s="83">
        <f t="shared" si="19"/>
        <v>368.48</v>
      </c>
      <c r="J162" s="34"/>
    </row>
    <row r="163" spans="1:10" x14ac:dyDescent="0.2">
      <c r="A163" s="88"/>
      <c r="B163" s="133"/>
      <c r="C163" s="361" t="s">
        <v>149</v>
      </c>
      <c r="D163" s="361"/>
      <c r="E163" s="361"/>
      <c r="F163" s="361"/>
      <c r="G163" s="361"/>
      <c r="H163" s="361"/>
      <c r="J163" s="34"/>
    </row>
    <row r="164" spans="1:10" x14ac:dyDescent="0.2">
      <c r="A164" s="132"/>
      <c r="B164" s="84" t="s">
        <v>137</v>
      </c>
      <c r="C164" s="81" t="s">
        <v>361</v>
      </c>
      <c r="D164" s="82">
        <f>IF(((($K$4*1000)/$K$23)/$K$24)&gt;30,ROUNDUP((((($K$4*1000)/$K$23)/$K$24)/30),0),1)</f>
        <v>1</v>
      </c>
      <c r="E164" s="82">
        <f>(ROUND(((((ROUNDUP((ROUNDUP(((($K$4/2)*1000)/$K$23),0))/$K$24,0)))*$K$16)/D164),0))+($K$16*$K$19)</f>
        <v>50</v>
      </c>
      <c r="F164" s="82" t="s">
        <v>118</v>
      </c>
      <c r="G164" s="83">
        <f>INDEX('TPU MAR-24'!$D$9:$D$999,MATCH(B164,'TPU MAR-24'!$A$9:$A$999,0))</f>
        <v>208.51</v>
      </c>
      <c r="H164" s="83">
        <f>D164*E164*G164</f>
        <v>10425.5</v>
      </c>
      <c r="J164" s="34"/>
    </row>
    <row r="165" spans="1:10" x14ac:dyDescent="0.2">
      <c r="B165" s="84" t="s">
        <v>204</v>
      </c>
      <c r="C165" s="81" t="s">
        <v>205</v>
      </c>
      <c r="D165" s="26">
        <f>D164*2</f>
        <v>2</v>
      </c>
      <c r="E165" s="82">
        <f>(ROUND(((((ROUNDUP((ROUNDUP(((($K$4/2)*1000)/$K$23),0))/$K$24,0)))*$K$16)/D164),0))</f>
        <v>40</v>
      </c>
      <c r="F165" s="82" t="s">
        <v>118</v>
      </c>
      <c r="G165" s="83">
        <f>INDEX('TPU MAR-24'!$D$9:$D$999,MATCH(B165,'TPU MAR-24'!$A$9:$A$999,0))</f>
        <v>24.14</v>
      </c>
      <c r="H165" s="83">
        <f>D165*E165*G165</f>
        <v>1931.2</v>
      </c>
      <c r="J165" s="34"/>
    </row>
    <row r="166" spans="1:10" x14ac:dyDescent="0.2">
      <c r="B166" s="75"/>
      <c r="C166" s="357" t="s">
        <v>156</v>
      </c>
      <c r="D166" s="357"/>
      <c r="E166" s="357"/>
      <c r="F166" s="357"/>
      <c r="G166" s="357"/>
      <c r="H166" s="89">
        <f>SUM(H157:H165)</f>
        <v>41203.539999999994</v>
      </c>
      <c r="J166" s="34"/>
    </row>
    <row r="167" spans="1:10" x14ac:dyDescent="0.2">
      <c r="B167" s="75"/>
      <c r="C167" s="361" t="s">
        <v>158</v>
      </c>
      <c r="D167" s="361"/>
      <c r="E167" s="361"/>
      <c r="F167" s="361"/>
      <c r="G167" s="361"/>
      <c r="H167" s="361"/>
      <c r="J167" s="34"/>
    </row>
    <row r="168" spans="1:10" x14ac:dyDescent="0.2">
      <c r="B168" s="75"/>
      <c r="C168" s="81" t="s">
        <v>362</v>
      </c>
      <c r="D168" s="26">
        <f>D164</f>
        <v>1</v>
      </c>
      <c r="E168" s="82">
        <f>(ROUND(((((ROUNDUP((ROUNDUP(((($K$4/2)*1000)/$K$23),0))/$K$24,0))))/D168),0))+($K$19)</f>
        <v>5</v>
      </c>
      <c r="F168" s="82" t="s">
        <v>161</v>
      </c>
      <c r="G168" s="83">
        <f>'TPU MAR-24'!$C$52</f>
        <v>318.24</v>
      </c>
      <c r="H168" s="83">
        <f t="shared" ref="H168:H169" si="20">IF(D168&lt;&gt;"",D168*E168*G168,"")</f>
        <v>1591.2</v>
      </c>
      <c r="J168" s="34"/>
    </row>
    <row r="169" spans="1:10" x14ac:dyDescent="0.2">
      <c r="A169" s="132"/>
      <c r="B169" s="133"/>
      <c r="C169" s="81" t="s">
        <v>211</v>
      </c>
      <c r="D169" s="26">
        <f>D165</f>
        <v>2</v>
      </c>
      <c r="E169" s="82">
        <f>(ROUND(((((ROUNDUP((ROUNDUP(((($K$4/2)*1000)/$K$23),0))/$K$24,0))))/D168),0))</f>
        <v>4</v>
      </c>
      <c r="F169" s="82" t="s">
        <v>161</v>
      </c>
      <c r="G169" s="83">
        <f>'TPU MAR-24'!$C$53</f>
        <v>159.12</v>
      </c>
      <c r="H169" s="83">
        <f t="shared" si="20"/>
        <v>1272.96</v>
      </c>
      <c r="J169" s="34"/>
    </row>
    <row r="170" spans="1:10" x14ac:dyDescent="0.2">
      <c r="A170" s="132"/>
      <c r="B170" s="133"/>
      <c r="C170" s="81" t="s">
        <v>167</v>
      </c>
      <c r="D170" s="26">
        <v>1</v>
      </c>
      <c r="E170" s="82">
        <v>1</v>
      </c>
      <c r="F170" s="82" t="s">
        <v>321</v>
      </c>
      <c r="G170" s="83">
        <v>1500</v>
      </c>
      <c r="H170" s="83">
        <f>IF(D170&lt;&gt;"",D170*E170*G170,"")</f>
        <v>1500</v>
      </c>
      <c r="J170" s="34"/>
    </row>
    <row r="171" spans="1:10" x14ac:dyDescent="0.2">
      <c r="A171" s="132"/>
      <c r="B171" s="133"/>
      <c r="C171" s="81" t="s">
        <v>363</v>
      </c>
      <c r="D171" s="26">
        <f>D164</f>
        <v>1</v>
      </c>
      <c r="E171" s="82">
        <v>1</v>
      </c>
      <c r="F171" s="82" t="s">
        <v>168</v>
      </c>
      <c r="G171" s="83">
        <f>$K$25</f>
        <v>1200</v>
      </c>
      <c r="H171" s="83">
        <f t="shared" ref="H171:H173" si="21">IF(D171&lt;&gt;"",D171*E171*G171,"")</f>
        <v>1200</v>
      </c>
      <c r="J171" s="34"/>
    </row>
    <row r="172" spans="1:10" x14ac:dyDescent="0.2">
      <c r="A172" s="132"/>
      <c r="B172" s="133"/>
      <c r="C172" s="81" t="s">
        <v>364</v>
      </c>
      <c r="D172" s="26">
        <f>D164</f>
        <v>1</v>
      </c>
      <c r="E172" s="82">
        <f>(ROUND(((((ROUNDUP((ROUNDUP(((($K$4/2)*1000)/$K$23),0))/$K$24,0))))/D172),0))+($K$19)</f>
        <v>5</v>
      </c>
      <c r="F172" s="26" t="s">
        <v>161</v>
      </c>
      <c r="G172" s="95">
        <f>'TPU MAR-24'!$D$42</f>
        <v>193.64</v>
      </c>
      <c r="H172" s="83">
        <f t="shared" si="21"/>
        <v>968.19999999999993</v>
      </c>
      <c r="J172" s="34"/>
    </row>
    <row r="173" spans="1:10" x14ac:dyDescent="0.2">
      <c r="A173" s="132"/>
      <c r="B173" s="133"/>
      <c r="C173" s="81" t="s">
        <v>841</v>
      </c>
      <c r="D173" s="26">
        <f>D164</f>
        <v>1</v>
      </c>
      <c r="E173" s="82">
        <f>$K$6</f>
        <v>280</v>
      </c>
      <c r="F173" s="26" t="s">
        <v>173</v>
      </c>
      <c r="G173" s="95">
        <f>'TPU MAR-24'!$D$40</f>
        <v>1.29</v>
      </c>
      <c r="H173" s="83">
        <f t="shared" si="21"/>
        <v>361.2</v>
      </c>
      <c r="J173" s="34"/>
    </row>
    <row r="174" spans="1:10" x14ac:dyDescent="0.2">
      <c r="A174" s="132"/>
      <c r="B174" s="133"/>
      <c r="C174" s="357" t="s">
        <v>175</v>
      </c>
      <c r="D174" s="357"/>
      <c r="E174" s="357"/>
      <c r="F174" s="357"/>
      <c r="G174" s="357"/>
      <c r="H174" s="97">
        <f>SUM(H168:H173)</f>
        <v>6893.5599999999995</v>
      </c>
      <c r="J174" s="34"/>
    </row>
    <row r="175" spans="1:10" x14ac:dyDescent="0.2">
      <c r="B175" s="75"/>
      <c r="C175" s="361" t="s">
        <v>177</v>
      </c>
      <c r="D175" s="361"/>
      <c r="E175" s="361"/>
      <c r="F175" s="361"/>
      <c r="G175" s="361"/>
      <c r="H175" s="361"/>
      <c r="J175" s="34"/>
    </row>
    <row r="176" spans="1:10" x14ac:dyDescent="0.2">
      <c r="B176" s="75"/>
      <c r="C176" s="357" t="s">
        <v>179</v>
      </c>
      <c r="D176" s="357"/>
      <c r="E176" s="357"/>
      <c r="F176" s="357"/>
      <c r="G176" s="357"/>
      <c r="H176" s="97">
        <f>H166+H174</f>
        <v>48097.099999999991</v>
      </c>
      <c r="J176" s="34"/>
    </row>
    <row r="177" spans="1:10" x14ac:dyDescent="0.2">
      <c r="C177" s="362" t="s">
        <v>365</v>
      </c>
      <c r="D177" s="362"/>
      <c r="E177" s="362"/>
      <c r="F177" s="362"/>
      <c r="G177" s="362"/>
      <c r="H177" s="95">
        <f>H176*0.1</f>
        <v>4809.7099999999991</v>
      </c>
      <c r="J177" s="34"/>
    </row>
    <row r="178" spans="1:10" x14ac:dyDescent="0.2">
      <c r="C178" s="357" t="s">
        <v>267</v>
      </c>
      <c r="D178" s="357"/>
      <c r="E178" s="357"/>
      <c r="F178" s="357"/>
      <c r="G178" s="357"/>
      <c r="H178" s="89">
        <f>H176+H177</f>
        <v>52906.80999999999</v>
      </c>
      <c r="J178" s="34"/>
    </row>
    <row r="179" spans="1:10" x14ac:dyDescent="0.2">
      <c r="B179" s="8"/>
      <c r="C179" s="122"/>
      <c r="D179" s="116"/>
      <c r="E179" s="116"/>
      <c r="F179" s="116"/>
      <c r="G179" s="116"/>
      <c r="H179" s="117"/>
      <c r="J179" s="34"/>
    </row>
    <row r="180" spans="1:10" x14ac:dyDescent="0.2">
      <c r="B180" s="75"/>
      <c r="C180" s="122"/>
      <c r="D180" s="116"/>
      <c r="E180" s="116"/>
      <c r="F180" s="116"/>
      <c r="G180" s="116"/>
      <c r="H180" s="117"/>
      <c r="J180" s="34"/>
    </row>
    <row r="181" spans="1:10" x14ac:dyDescent="0.2">
      <c r="A181" s="126" t="str">
        <f>CAPEX!$A$11</f>
        <v>1.7</v>
      </c>
      <c r="B181" s="77"/>
      <c r="C181" s="349" t="str">
        <f>CAPEX!$B$11</f>
        <v>Elaboração do Programa de Gestão do Patrimônio Arqueológico e Projeto Integrado de Educação Patrimonial para IPHAN para as obras</v>
      </c>
      <c r="D181" s="350"/>
      <c r="E181" s="350"/>
      <c r="F181" s="350"/>
      <c r="G181" s="350"/>
      <c r="H181" s="38">
        <f>H207</f>
        <v>74987.12</v>
      </c>
      <c r="J181" s="34"/>
    </row>
    <row r="182" spans="1:10" ht="24" x14ac:dyDescent="0.2">
      <c r="A182" s="112"/>
      <c r="C182" s="45" t="s">
        <v>109</v>
      </c>
      <c r="D182" s="45" t="s">
        <v>28</v>
      </c>
      <c r="E182" s="45" t="s">
        <v>110</v>
      </c>
      <c r="F182" s="45" t="s">
        <v>111</v>
      </c>
      <c r="G182" s="45" t="s">
        <v>112</v>
      </c>
      <c r="H182" s="78" t="s">
        <v>113</v>
      </c>
      <c r="J182" s="34"/>
    </row>
    <row r="183" spans="1:10" x14ac:dyDescent="0.2">
      <c r="A183" s="112"/>
      <c r="C183" s="361" t="s">
        <v>190</v>
      </c>
      <c r="D183" s="361"/>
      <c r="E183" s="361"/>
      <c r="F183" s="361"/>
      <c r="G183" s="361"/>
      <c r="H183" s="361"/>
      <c r="J183" s="34"/>
    </row>
    <row r="184" spans="1:10" x14ac:dyDescent="0.2">
      <c r="A184" s="112"/>
      <c r="B184" s="80" t="s">
        <v>116</v>
      </c>
      <c r="C184" s="81" t="s">
        <v>117</v>
      </c>
      <c r="D184" s="82">
        <v>1</v>
      </c>
      <c r="E184" s="82">
        <v>8</v>
      </c>
      <c r="F184" s="82" t="s">
        <v>118</v>
      </c>
      <c r="G184" s="83">
        <f>INDEX('TPU MAR-24'!$D$9:$D$999,MATCH(B184,'TPU MAR-24'!$A$9:$A$999,0))</f>
        <v>391.54</v>
      </c>
      <c r="H184" s="83">
        <f>IF(D184&lt;&gt;"",D184*E184*G184,"")</f>
        <v>3132.32</v>
      </c>
      <c r="J184" s="34"/>
    </row>
    <row r="185" spans="1:10" x14ac:dyDescent="0.2">
      <c r="A185" s="112"/>
      <c r="B185" s="80" t="s">
        <v>128</v>
      </c>
      <c r="C185" s="81" t="s">
        <v>319</v>
      </c>
      <c r="D185" s="82">
        <v>1</v>
      </c>
      <c r="E185" s="82">
        <v>32</v>
      </c>
      <c r="F185" s="82" t="s">
        <v>118</v>
      </c>
      <c r="G185" s="83">
        <f>INDEX('TPU MAR-24'!$D$9:$D$999,MATCH(B185,'TPU MAR-24'!$A$9:$A$999,0))</f>
        <v>263.36</v>
      </c>
      <c r="H185" s="83">
        <f t="shared" ref="H185:H190" si="22">IF(D185&lt;&gt;"",D185*E185*G185,"")</f>
        <v>8427.52</v>
      </c>
      <c r="J185" s="34"/>
    </row>
    <row r="186" spans="1:10" x14ac:dyDescent="0.2">
      <c r="A186" s="112"/>
      <c r="B186" s="84" t="s">
        <v>137</v>
      </c>
      <c r="C186" s="81" t="s">
        <v>320</v>
      </c>
      <c r="D186" s="82">
        <v>1</v>
      </c>
      <c r="E186" s="82">
        <v>24</v>
      </c>
      <c r="F186" s="82" t="s">
        <v>118</v>
      </c>
      <c r="G186" s="83">
        <f>INDEX('TPU MAR-24'!$D$9:$D$999,MATCH(B186,'TPU MAR-24'!$A$9:$A$999,0))</f>
        <v>208.51</v>
      </c>
      <c r="H186" s="83">
        <f t="shared" si="22"/>
        <v>5004.24</v>
      </c>
      <c r="J186" s="34"/>
    </row>
    <row r="187" spans="1:10" x14ac:dyDescent="0.2">
      <c r="A187" s="88"/>
      <c r="B187" s="80" t="s">
        <v>367</v>
      </c>
      <c r="C187" s="81" t="s">
        <v>368</v>
      </c>
      <c r="D187" s="82">
        <v>1</v>
      </c>
      <c r="E187" s="82">
        <v>24</v>
      </c>
      <c r="F187" s="82" t="s">
        <v>118</v>
      </c>
      <c r="G187" s="83">
        <f>INDEX('TPU MAR-24'!$D$9:$D$999,MATCH(B187,'TPU MAR-24'!$A$9:$A$999,0))</f>
        <v>81.7</v>
      </c>
      <c r="H187" s="83">
        <f>IF(D187&lt;&gt;"",D187*E187*G187,"")</f>
        <v>1960.8000000000002</v>
      </c>
      <c r="J187" s="34"/>
    </row>
    <row r="188" spans="1:10" x14ac:dyDescent="0.2">
      <c r="A188" s="88"/>
      <c r="B188" s="80" t="s">
        <v>367</v>
      </c>
      <c r="C188" s="81" t="s">
        <v>369</v>
      </c>
      <c r="D188" s="82">
        <v>1</v>
      </c>
      <c r="E188" s="82">
        <v>24</v>
      </c>
      <c r="F188" s="82" t="s">
        <v>118</v>
      </c>
      <c r="G188" s="83">
        <f>INDEX('TPU MAR-24'!$D$9:$D$999,MATCH(B188,'TPU MAR-24'!$A$9:$A$999,0))</f>
        <v>81.7</v>
      </c>
      <c r="H188" s="83">
        <f>IF(D188&lt;&gt;"",D188*E188*G188,"")</f>
        <v>1960.8000000000002</v>
      </c>
      <c r="J188" s="34"/>
    </row>
    <row r="189" spans="1:10" x14ac:dyDescent="0.2">
      <c r="A189" s="132"/>
      <c r="B189" s="84" t="s">
        <v>143</v>
      </c>
      <c r="C189" s="81" t="s">
        <v>200</v>
      </c>
      <c r="D189" s="82">
        <v>1</v>
      </c>
      <c r="E189" s="82">
        <v>8</v>
      </c>
      <c r="F189" s="82" t="s">
        <v>118</v>
      </c>
      <c r="G189" s="83">
        <f>INDEX('TPU MAR-24'!$D$9:$D$999,MATCH(B189,'TPU MAR-24'!$A$9:$A$999,0))</f>
        <v>94.41</v>
      </c>
      <c r="H189" s="83">
        <f t="shared" si="22"/>
        <v>755.28</v>
      </c>
      <c r="J189" s="34"/>
    </row>
    <row r="190" spans="1:10" x14ac:dyDescent="0.2">
      <c r="A190" s="112"/>
      <c r="B190" s="84" t="s">
        <v>146</v>
      </c>
      <c r="C190" s="81" t="s">
        <v>147</v>
      </c>
      <c r="D190" s="82">
        <v>1</v>
      </c>
      <c r="E190" s="82">
        <v>4</v>
      </c>
      <c r="F190" s="82" t="s">
        <v>118</v>
      </c>
      <c r="G190" s="83">
        <f>INDEX('TPU MAR-24'!$D$9:$D$999,MATCH(B190,'TPU MAR-24'!$A$9:$A$999,0))</f>
        <v>46.06</v>
      </c>
      <c r="H190" s="83">
        <f t="shared" si="22"/>
        <v>184.24</v>
      </c>
      <c r="J190" s="34"/>
    </row>
    <row r="191" spans="1:10" x14ac:dyDescent="0.2">
      <c r="A191" s="112"/>
      <c r="B191" s="133"/>
      <c r="C191" s="361" t="s">
        <v>149</v>
      </c>
      <c r="D191" s="361"/>
      <c r="E191" s="361"/>
      <c r="F191" s="361"/>
      <c r="G191" s="361"/>
      <c r="H191" s="361"/>
      <c r="J191" s="34"/>
    </row>
    <row r="192" spans="1:10" x14ac:dyDescent="0.2">
      <c r="A192" s="88"/>
      <c r="B192" s="84" t="s">
        <v>137</v>
      </c>
      <c r="C192" s="81" t="s">
        <v>320</v>
      </c>
      <c r="D192" s="82">
        <v>1</v>
      </c>
      <c r="E192" s="82">
        <f>($K$26+$K$19)*$K$42*$K$16</f>
        <v>40</v>
      </c>
      <c r="F192" s="82" t="s">
        <v>118</v>
      </c>
      <c r="G192" s="83">
        <f>INDEX('TPU MAR-24'!$D$9:$D$999,MATCH(B192,'TPU MAR-24'!$A$9:$A$999,0))</f>
        <v>208.51</v>
      </c>
      <c r="H192" s="83">
        <f t="shared" ref="H192:H194" si="23">D192*E192*G192</f>
        <v>8340.4</v>
      </c>
      <c r="J192" s="34"/>
    </row>
    <row r="193" spans="1:10" x14ac:dyDescent="0.2">
      <c r="A193" s="132"/>
      <c r="B193" s="80" t="s">
        <v>367</v>
      </c>
      <c r="C193" s="81" t="s">
        <v>369</v>
      </c>
      <c r="D193" s="82">
        <v>1</v>
      </c>
      <c r="E193" s="82">
        <f>($K$26+$K$19)*$K$42*$K$16</f>
        <v>40</v>
      </c>
      <c r="F193" s="82" t="s">
        <v>118</v>
      </c>
      <c r="G193" s="83">
        <f>INDEX('TPU MAR-24'!$D$9:$D$999,MATCH(B193,'TPU MAR-24'!$A$9:$A$999,0))</f>
        <v>81.7</v>
      </c>
      <c r="H193" s="83">
        <f t="shared" si="23"/>
        <v>3268</v>
      </c>
      <c r="J193" s="34"/>
    </row>
    <row r="194" spans="1:10" x14ac:dyDescent="0.2">
      <c r="B194" s="84" t="s">
        <v>153</v>
      </c>
      <c r="C194" s="81" t="s">
        <v>154</v>
      </c>
      <c r="D194" s="82">
        <v>1</v>
      </c>
      <c r="E194" s="82">
        <f>($K$26)*$K$42*$K$16</f>
        <v>20</v>
      </c>
      <c r="F194" s="82" t="s">
        <v>118</v>
      </c>
      <c r="G194" s="83">
        <f>INDEX('TPU MAR-24'!$D$9:$D$999,MATCH(B194,'TPU MAR-24'!$A$9:$A$999,0))</f>
        <v>25.5</v>
      </c>
      <c r="H194" s="83">
        <f t="shared" si="23"/>
        <v>510</v>
      </c>
      <c r="J194" s="34"/>
    </row>
    <row r="195" spans="1:10" x14ac:dyDescent="0.2">
      <c r="B195" s="75"/>
      <c r="C195" s="357" t="s">
        <v>156</v>
      </c>
      <c r="D195" s="357"/>
      <c r="E195" s="357"/>
      <c r="F195" s="357"/>
      <c r="G195" s="357"/>
      <c r="H195" s="89">
        <f>SUM(H184:H194)</f>
        <v>33543.599999999999</v>
      </c>
      <c r="J195" s="34"/>
    </row>
    <row r="196" spans="1:10" x14ac:dyDescent="0.2">
      <c r="B196" s="75"/>
      <c r="C196" s="361" t="s">
        <v>158</v>
      </c>
      <c r="D196" s="361"/>
      <c r="E196" s="361"/>
      <c r="F196" s="361"/>
      <c r="G196" s="361"/>
      <c r="H196" s="361"/>
      <c r="J196" s="34"/>
    </row>
    <row r="197" spans="1:10" x14ac:dyDescent="0.2">
      <c r="B197" s="75"/>
      <c r="C197" s="81" t="s">
        <v>370</v>
      </c>
      <c r="D197" s="82">
        <f>D192</f>
        <v>1</v>
      </c>
      <c r="E197" s="82">
        <f>($K$26+$K$19)*$K$42</f>
        <v>4</v>
      </c>
      <c r="F197" s="82" t="s">
        <v>161</v>
      </c>
      <c r="G197" s="83">
        <f>'TPU MAR-24'!$C$52</f>
        <v>318.24</v>
      </c>
      <c r="H197" s="83">
        <f t="shared" ref="H197:H203" si="24">IF(D197&lt;&gt;"",D197*E197*G197,"")</f>
        <v>1272.96</v>
      </c>
      <c r="J197" s="34"/>
    </row>
    <row r="198" spans="1:10" x14ac:dyDescent="0.2">
      <c r="B198" s="75"/>
      <c r="C198" s="81" t="s">
        <v>371</v>
      </c>
      <c r="D198" s="82">
        <f>D193</f>
        <v>1</v>
      </c>
      <c r="E198" s="82">
        <f>($K$26+$K$19)*$K$42</f>
        <v>4</v>
      </c>
      <c r="F198" s="82" t="s">
        <v>161</v>
      </c>
      <c r="G198" s="83">
        <f>'TPU MAR-24'!$C$52</f>
        <v>318.24</v>
      </c>
      <c r="H198" s="83">
        <f t="shared" si="24"/>
        <v>1272.96</v>
      </c>
      <c r="J198" s="34"/>
    </row>
    <row r="199" spans="1:10" x14ac:dyDescent="0.2">
      <c r="A199" s="132"/>
      <c r="B199" s="133"/>
      <c r="C199" s="81" t="s">
        <v>165</v>
      </c>
      <c r="D199" s="82">
        <f>D194</f>
        <v>1</v>
      </c>
      <c r="E199" s="82">
        <f>($K$26)*$K$42</f>
        <v>2</v>
      </c>
      <c r="F199" s="82" t="s">
        <v>161</v>
      </c>
      <c r="G199" s="83">
        <f>'TPU MAR-24'!$C$53</f>
        <v>159.12</v>
      </c>
      <c r="H199" s="83">
        <f t="shared" si="24"/>
        <v>318.24</v>
      </c>
      <c r="J199" s="34"/>
    </row>
    <row r="200" spans="1:10" x14ac:dyDescent="0.2">
      <c r="A200" s="132"/>
      <c r="B200" s="133"/>
      <c r="C200" s="81" t="s">
        <v>167</v>
      </c>
      <c r="D200" s="26">
        <v>1</v>
      </c>
      <c r="E200" s="82">
        <v>1</v>
      </c>
      <c r="F200" s="82" t="s">
        <v>321</v>
      </c>
      <c r="G200" s="83">
        <v>1500</v>
      </c>
      <c r="H200" s="83">
        <f>IF(D200&lt;&gt;"",D200*E200*G200,"")</f>
        <v>1500</v>
      </c>
      <c r="J200" s="34"/>
    </row>
    <row r="201" spans="1:10" x14ac:dyDescent="0.2">
      <c r="A201" s="132"/>
      <c r="B201" s="133"/>
      <c r="C201" s="81" t="s">
        <v>372</v>
      </c>
      <c r="D201" s="26">
        <f>$K$42</f>
        <v>2</v>
      </c>
      <c r="E201" s="82">
        <v>1</v>
      </c>
      <c r="F201" s="82" t="s">
        <v>168</v>
      </c>
      <c r="G201" s="83">
        <f>$K$28</f>
        <v>1200</v>
      </c>
      <c r="H201" s="83">
        <f t="shared" si="24"/>
        <v>2400</v>
      </c>
      <c r="J201" s="33"/>
    </row>
    <row r="202" spans="1:10" x14ac:dyDescent="0.2">
      <c r="A202" s="132"/>
      <c r="B202" s="133"/>
      <c r="C202" s="81" t="s">
        <v>170</v>
      </c>
      <c r="D202" s="26">
        <f>D192</f>
        <v>1</v>
      </c>
      <c r="E202" s="82">
        <f>($K$26+$K$19)*$K$42</f>
        <v>4</v>
      </c>
      <c r="F202" s="26" t="s">
        <v>161</v>
      </c>
      <c r="G202" s="95">
        <f>'TPU MAR-24'!$D$42</f>
        <v>193.64</v>
      </c>
      <c r="H202" s="83">
        <f t="shared" si="24"/>
        <v>774.56</v>
      </c>
      <c r="J202" s="34"/>
    </row>
    <row r="203" spans="1:10" x14ac:dyDescent="0.2">
      <c r="A203" s="132"/>
      <c r="B203" s="133"/>
      <c r="C203" s="81" t="s">
        <v>401</v>
      </c>
      <c r="D203" s="26">
        <f>D194</f>
        <v>1</v>
      </c>
      <c r="E203" s="82">
        <f>$K$6</f>
        <v>280</v>
      </c>
      <c r="F203" s="26" t="s">
        <v>173</v>
      </c>
      <c r="G203" s="95">
        <f>'TPU MAR-24'!$D$40</f>
        <v>1.29</v>
      </c>
      <c r="H203" s="83">
        <f t="shared" si="24"/>
        <v>361.2</v>
      </c>
    </row>
    <row r="204" spans="1:10" x14ac:dyDescent="0.2">
      <c r="A204" s="132"/>
      <c r="B204" s="133"/>
      <c r="C204" s="357" t="s">
        <v>175</v>
      </c>
      <c r="D204" s="357"/>
      <c r="E204" s="357"/>
      <c r="F204" s="357"/>
      <c r="G204" s="357"/>
      <c r="H204" s="97">
        <f>SUM(H197:H203)</f>
        <v>7899.9199999999992</v>
      </c>
    </row>
    <row r="205" spans="1:10" x14ac:dyDescent="0.2">
      <c r="B205" s="75"/>
      <c r="C205" s="361" t="s">
        <v>177</v>
      </c>
      <c r="D205" s="361"/>
      <c r="E205" s="361"/>
      <c r="F205" s="361"/>
      <c r="G205" s="361"/>
      <c r="H205" s="361"/>
    </row>
    <row r="206" spans="1:10" x14ac:dyDescent="0.2">
      <c r="B206" s="75"/>
      <c r="C206" s="357" t="s">
        <v>179</v>
      </c>
      <c r="D206" s="357"/>
      <c r="E206" s="357"/>
      <c r="F206" s="357"/>
      <c r="G206" s="357"/>
      <c r="H206" s="97">
        <f>H195+H204</f>
        <v>41443.519999999997</v>
      </c>
    </row>
    <row r="207" spans="1:10" x14ac:dyDescent="0.2">
      <c r="B207" s="75"/>
      <c r="C207" s="357" t="s">
        <v>267</v>
      </c>
      <c r="D207" s="357"/>
      <c r="E207" s="357"/>
      <c r="F207" s="357"/>
      <c r="G207" s="357"/>
      <c r="H207" s="89">
        <f>H195+H206</f>
        <v>74987.12</v>
      </c>
    </row>
    <row r="208" spans="1:10" x14ac:dyDescent="0.2">
      <c r="B208" s="8"/>
      <c r="C208" s="116"/>
      <c r="D208" s="116"/>
      <c r="E208" s="116"/>
      <c r="F208" s="116"/>
      <c r="G208" s="116"/>
      <c r="H208" s="117"/>
    </row>
    <row r="209" spans="1:10" x14ac:dyDescent="0.2">
      <c r="B209" s="75"/>
      <c r="C209" s="116"/>
      <c r="D209" s="116"/>
      <c r="E209" s="116"/>
      <c r="F209" s="116"/>
      <c r="G209" s="116"/>
      <c r="H209" s="117"/>
    </row>
    <row r="210" spans="1:10" x14ac:dyDescent="0.2">
      <c r="A210" s="126" t="str">
        <f>CAPEX!$A$12</f>
        <v>1.8</v>
      </c>
      <c r="B210" s="77"/>
      <c r="C210" s="349" t="str">
        <f>CAPEX!$B$12</f>
        <v>Obtenção de Autorização junto ao Município interceptado</v>
      </c>
      <c r="D210" s="350"/>
      <c r="E210" s="350"/>
      <c r="F210" s="350"/>
      <c r="G210" s="350"/>
      <c r="H210" s="38">
        <f>H235</f>
        <v>208467.15999999997</v>
      </c>
    </row>
    <row r="211" spans="1:10" ht="24" x14ac:dyDescent="0.2">
      <c r="A211" s="112"/>
      <c r="C211" s="45" t="s">
        <v>109</v>
      </c>
      <c r="D211" s="45" t="s">
        <v>28</v>
      </c>
      <c r="E211" s="45" t="s">
        <v>110</v>
      </c>
      <c r="F211" s="45" t="s">
        <v>111</v>
      </c>
      <c r="G211" s="45" t="s">
        <v>112</v>
      </c>
      <c r="H211" s="78" t="s">
        <v>113</v>
      </c>
      <c r="J211" s="34"/>
    </row>
    <row r="212" spans="1:10" x14ac:dyDescent="0.2">
      <c r="A212" s="112"/>
      <c r="C212" s="361" t="s">
        <v>190</v>
      </c>
      <c r="D212" s="361"/>
      <c r="E212" s="361"/>
      <c r="F212" s="361"/>
      <c r="G212" s="361"/>
      <c r="H212" s="361"/>
    </row>
    <row r="213" spans="1:10" x14ac:dyDescent="0.2">
      <c r="A213" s="112"/>
      <c r="B213" s="80" t="s">
        <v>116</v>
      </c>
      <c r="C213" s="81" t="s">
        <v>117</v>
      </c>
      <c r="D213" s="82">
        <v>1</v>
      </c>
      <c r="E213" s="82">
        <f>(($K$17/5)*($K$15)*($K$18)*($K$21/$K$21))</f>
        <v>32</v>
      </c>
      <c r="F213" s="82" t="s">
        <v>118</v>
      </c>
      <c r="G213" s="83">
        <f>INDEX('TPU MAR-24'!$D$9:$D$999,MATCH(B213,'TPU MAR-24'!$A$9:$A$999,0))</f>
        <v>391.54</v>
      </c>
      <c r="H213" s="83">
        <f>IF(D213&lt;&gt;"",D213*E213*G213,"")</f>
        <v>12529.28</v>
      </c>
    </row>
    <row r="214" spans="1:10" x14ac:dyDescent="0.2">
      <c r="A214" s="88"/>
      <c r="B214" s="80" t="s">
        <v>123</v>
      </c>
      <c r="C214" s="81" t="s">
        <v>335</v>
      </c>
      <c r="D214" s="82">
        <v>1</v>
      </c>
      <c r="E214" s="82">
        <f>$K$15*$K$42*$K$78</f>
        <v>240</v>
      </c>
      <c r="F214" s="82" t="s">
        <v>118</v>
      </c>
      <c r="G214" s="83">
        <f>INDEX('TPU MAR-24'!$D$9:$D$999,MATCH(B214,'TPU MAR-24'!$A$9:$A$999,0))</f>
        <v>268.08</v>
      </c>
      <c r="H214" s="83">
        <f t="shared" ref="H214:H218" si="25">IF(D214&lt;&gt;"",D214*E214*G214,"")</f>
        <v>64339.199999999997</v>
      </c>
      <c r="J214" s="34"/>
    </row>
    <row r="215" spans="1:10" x14ac:dyDescent="0.2">
      <c r="A215" s="88"/>
      <c r="B215" s="80" t="s">
        <v>123</v>
      </c>
      <c r="C215" s="81" t="s">
        <v>336</v>
      </c>
      <c r="D215" s="82">
        <v>1</v>
      </c>
      <c r="E215" s="82">
        <f>$K$15*$K$42*$K$79</f>
        <v>80</v>
      </c>
      <c r="F215" s="82" t="s">
        <v>118</v>
      </c>
      <c r="G215" s="83">
        <f>INDEX('TPU MAR-24'!$D$9:$D$999,MATCH(B215,'TPU MAR-24'!$A$9:$A$999,0))</f>
        <v>268.08</v>
      </c>
      <c r="H215" s="83">
        <f t="shared" si="25"/>
        <v>21446.399999999998</v>
      </c>
      <c r="J215" s="34"/>
    </row>
    <row r="216" spans="1:10" ht="12.75" customHeight="1" x14ac:dyDescent="0.2">
      <c r="A216" s="88"/>
      <c r="B216" s="84" t="s">
        <v>140</v>
      </c>
      <c r="C216" s="81" t="s">
        <v>221</v>
      </c>
      <c r="D216" s="82">
        <v>1</v>
      </c>
      <c r="E216" s="82">
        <f>$K$15*$K$42*$K$79</f>
        <v>80</v>
      </c>
      <c r="F216" s="82" t="s">
        <v>118</v>
      </c>
      <c r="G216" s="83">
        <f>INDEX('TPU MAR-24'!$D$9:$D$999,MATCH(B216,'TPU MAR-24'!$A$9:$A$999,0))</f>
        <v>213.54</v>
      </c>
      <c r="H216" s="83">
        <f t="shared" si="25"/>
        <v>17083.2</v>
      </c>
      <c r="J216" s="34"/>
    </row>
    <row r="217" spans="1:10" x14ac:dyDescent="0.2">
      <c r="A217" s="132"/>
      <c r="B217" s="84" t="s">
        <v>143</v>
      </c>
      <c r="C217" s="81" t="s">
        <v>200</v>
      </c>
      <c r="D217" s="82">
        <v>1</v>
      </c>
      <c r="E217" s="82">
        <f>$K$15*$K$42*$K$80</f>
        <v>48</v>
      </c>
      <c r="F217" s="82" t="s">
        <v>118</v>
      </c>
      <c r="G217" s="83">
        <f>INDEX('TPU MAR-24'!$D$9:$D$999,MATCH(B217,'TPU MAR-24'!$A$9:$A$999,0))</f>
        <v>94.41</v>
      </c>
      <c r="H217" s="83">
        <f t="shared" si="25"/>
        <v>4531.68</v>
      </c>
      <c r="J217" s="34"/>
    </row>
    <row r="218" spans="1:10" x14ac:dyDescent="0.2">
      <c r="A218" s="112"/>
      <c r="B218" s="84" t="s">
        <v>146</v>
      </c>
      <c r="C218" s="81" t="s">
        <v>147</v>
      </c>
      <c r="D218" s="82">
        <v>1</v>
      </c>
      <c r="E218" s="82">
        <f>(($K$17/5)*($K$15)*($K$18)*($K$21/$K$21))</f>
        <v>32</v>
      </c>
      <c r="F218" s="82" t="s">
        <v>118</v>
      </c>
      <c r="G218" s="83">
        <f>INDEX('TPU MAR-24'!$D$9:$D$999,MATCH(B218,'TPU MAR-24'!$A$9:$A$999,0))</f>
        <v>46.06</v>
      </c>
      <c r="H218" s="83">
        <f t="shared" si="25"/>
        <v>1473.92</v>
      </c>
      <c r="J218" s="34"/>
    </row>
    <row r="219" spans="1:10" x14ac:dyDescent="0.2">
      <c r="A219" s="112"/>
      <c r="B219" s="133"/>
      <c r="C219" s="361" t="s">
        <v>149</v>
      </c>
      <c r="D219" s="361"/>
      <c r="E219" s="361"/>
      <c r="F219" s="361"/>
      <c r="G219" s="361"/>
      <c r="H219" s="361"/>
      <c r="J219" s="34"/>
    </row>
    <row r="220" spans="1:10" x14ac:dyDescent="0.2">
      <c r="A220" s="88"/>
      <c r="B220" s="80" t="s">
        <v>123</v>
      </c>
      <c r="C220" s="81" t="s">
        <v>335</v>
      </c>
      <c r="D220" s="82">
        <v>1</v>
      </c>
      <c r="E220" s="82">
        <f>($K$16*$K$42*$K$81)+($K$19*$K$16)</f>
        <v>110</v>
      </c>
      <c r="F220" s="82" t="s">
        <v>118</v>
      </c>
      <c r="G220" s="83">
        <f>INDEX('TPU MAR-24'!$D$9:$D$999,MATCH(B220,'TPU MAR-24'!$A$9:$A$999,0))</f>
        <v>268.08</v>
      </c>
      <c r="H220" s="83">
        <f>D220*E220*G220</f>
        <v>29488.799999999999</v>
      </c>
      <c r="J220" s="34"/>
    </row>
    <row r="221" spans="1:10" x14ac:dyDescent="0.2">
      <c r="A221" s="132"/>
      <c r="B221" s="84" t="s">
        <v>140</v>
      </c>
      <c r="C221" s="81" t="s">
        <v>221</v>
      </c>
      <c r="D221" s="82">
        <v>1</v>
      </c>
      <c r="E221" s="82">
        <f>($K$16*$K$42*$K$81)+($K$19*$K$16)</f>
        <v>110</v>
      </c>
      <c r="F221" s="82" t="s">
        <v>118</v>
      </c>
      <c r="G221" s="83">
        <f>INDEX('TPU MAR-24'!$D$9:$D$999,MATCH(B221,'TPU MAR-24'!$A$9:$A$999,0))</f>
        <v>213.54</v>
      </c>
      <c r="H221" s="83">
        <f t="shared" ref="H221:H222" si="26">D221*E221*G221</f>
        <v>23489.399999999998</v>
      </c>
      <c r="J221" s="34"/>
    </row>
    <row r="222" spans="1:10" x14ac:dyDescent="0.2">
      <c r="B222" s="84" t="s">
        <v>153</v>
      </c>
      <c r="C222" s="81" t="s">
        <v>154</v>
      </c>
      <c r="D222" s="82">
        <v>1</v>
      </c>
      <c r="E222" s="82">
        <f>($K$16*$K$42*$K$81)</f>
        <v>100</v>
      </c>
      <c r="F222" s="82" t="s">
        <v>118</v>
      </c>
      <c r="G222" s="83">
        <f>INDEX('TPU MAR-24'!$D$9:$D$999,MATCH(B222,'TPU MAR-24'!$A$9:$A$999,0))</f>
        <v>25.5</v>
      </c>
      <c r="H222" s="83">
        <f t="shared" si="26"/>
        <v>2550</v>
      </c>
      <c r="J222" s="34"/>
    </row>
    <row r="223" spans="1:10" x14ac:dyDescent="0.2">
      <c r="B223" s="75"/>
      <c r="C223" s="357" t="s">
        <v>156</v>
      </c>
      <c r="D223" s="357"/>
      <c r="E223" s="357"/>
      <c r="F223" s="357"/>
      <c r="G223" s="357"/>
      <c r="H223" s="89">
        <f>SUM(H213:H222)</f>
        <v>176931.87999999998</v>
      </c>
    </row>
    <row r="224" spans="1:10" x14ac:dyDescent="0.2">
      <c r="B224" s="75"/>
      <c r="C224" s="361" t="s">
        <v>158</v>
      </c>
      <c r="D224" s="361"/>
      <c r="E224" s="361"/>
      <c r="F224" s="361"/>
      <c r="G224" s="361"/>
      <c r="H224" s="361"/>
    </row>
    <row r="225" spans="1:8" x14ac:dyDescent="0.2">
      <c r="B225" s="75"/>
      <c r="C225" s="81" t="s">
        <v>337</v>
      </c>
      <c r="D225" s="82">
        <f>D220</f>
        <v>1</v>
      </c>
      <c r="E225" s="82">
        <f>($K$42*$K$81)+($K$19)</f>
        <v>11</v>
      </c>
      <c r="F225" s="82" t="s">
        <v>161</v>
      </c>
      <c r="G225" s="83">
        <f>'TPU MAR-24'!$C$52</f>
        <v>318.24</v>
      </c>
      <c r="H225" s="83">
        <f t="shared" ref="H225:H227" si="27">IF(D225&lt;&gt;"",D225*E225*G225,"")</f>
        <v>3500.6400000000003</v>
      </c>
    </row>
    <row r="226" spans="1:8" x14ac:dyDescent="0.2">
      <c r="B226" s="75"/>
      <c r="C226" s="81" t="s">
        <v>160</v>
      </c>
      <c r="D226" s="82">
        <f>D221</f>
        <v>1</v>
      </c>
      <c r="E226" s="82">
        <f>($K$42*$K$81)+($K$19)</f>
        <v>11</v>
      </c>
      <c r="F226" s="82" t="s">
        <v>161</v>
      </c>
      <c r="G226" s="83">
        <f>'TPU MAR-24'!$C$52</f>
        <v>318.24</v>
      </c>
      <c r="H226" s="83">
        <f t="shared" si="27"/>
        <v>3500.6400000000003</v>
      </c>
    </row>
    <row r="227" spans="1:8" x14ac:dyDescent="0.2">
      <c r="A227" s="132"/>
      <c r="B227" s="133"/>
      <c r="C227" s="81" t="s">
        <v>165</v>
      </c>
      <c r="D227" s="82">
        <f>D222</f>
        <v>1</v>
      </c>
      <c r="E227" s="82">
        <f>($K$42*$K$81)</f>
        <v>10</v>
      </c>
      <c r="F227" s="82" t="s">
        <v>161</v>
      </c>
      <c r="G227" s="83">
        <f>'TPU MAR-24'!$C$53</f>
        <v>159.12</v>
      </c>
      <c r="H227" s="83">
        <f t="shared" si="27"/>
        <v>1591.2</v>
      </c>
    </row>
    <row r="228" spans="1:8" x14ac:dyDescent="0.2">
      <c r="A228" s="132"/>
      <c r="B228" s="133"/>
      <c r="C228" s="81" t="s">
        <v>167</v>
      </c>
      <c r="D228" s="26">
        <v>1</v>
      </c>
      <c r="E228" s="82">
        <v>1</v>
      </c>
      <c r="F228" s="82" t="s">
        <v>321</v>
      </c>
      <c r="G228" s="83">
        <v>1500</v>
      </c>
      <c r="H228" s="83">
        <f>IF(D228&lt;&gt;"",D228*E228*G228,"")</f>
        <v>1500</v>
      </c>
    </row>
    <row r="229" spans="1:8" x14ac:dyDescent="0.2">
      <c r="A229" s="132"/>
      <c r="B229" s="133"/>
      <c r="C229" s="81" t="s">
        <v>170</v>
      </c>
      <c r="D229" s="26">
        <f>D220</f>
        <v>1</v>
      </c>
      <c r="E229" s="82">
        <f>($K$42*$K$81)+($K$19)</f>
        <v>11</v>
      </c>
      <c r="F229" s="26" t="s">
        <v>161</v>
      </c>
      <c r="G229" s="95">
        <f>'TPU MAR-24'!$D$42</f>
        <v>193.64</v>
      </c>
      <c r="H229" s="83">
        <f t="shared" ref="H229:H230" si="28">IF(D229&lt;&gt;"",D229*E229*G229,"")</f>
        <v>2130.04</v>
      </c>
    </row>
    <row r="230" spans="1:8" x14ac:dyDescent="0.2">
      <c r="A230" s="132"/>
      <c r="B230" s="133"/>
      <c r="C230" s="81" t="s">
        <v>401</v>
      </c>
      <c r="D230" s="26">
        <f>D222</f>
        <v>1</v>
      </c>
      <c r="E230" s="82">
        <f>$K$6</f>
        <v>280</v>
      </c>
      <c r="F230" s="26" t="s">
        <v>173</v>
      </c>
      <c r="G230" s="95">
        <f>'TPU MAR-24'!$D$40</f>
        <v>1.29</v>
      </c>
      <c r="H230" s="83">
        <f t="shared" si="28"/>
        <v>361.2</v>
      </c>
    </row>
    <row r="231" spans="1:8" x14ac:dyDescent="0.2">
      <c r="A231" s="132"/>
      <c r="B231" s="133"/>
      <c r="C231" s="357" t="s">
        <v>175</v>
      </c>
      <c r="D231" s="357"/>
      <c r="E231" s="357"/>
      <c r="F231" s="357"/>
      <c r="G231" s="357"/>
      <c r="H231" s="97">
        <f>SUM(H225:H230)</f>
        <v>12583.720000000001</v>
      </c>
    </row>
    <row r="232" spans="1:8" x14ac:dyDescent="0.2">
      <c r="A232" s="99"/>
      <c r="C232" s="361" t="s">
        <v>177</v>
      </c>
      <c r="D232" s="361"/>
      <c r="E232" s="361"/>
      <c r="F232" s="361"/>
      <c r="G232" s="361"/>
      <c r="H232" s="361"/>
    </row>
    <row r="233" spans="1:8" x14ac:dyDescent="0.2">
      <c r="B233" s="75"/>
      <c r="C233" s="357" t="s">
        <v>179</v>
      </c>
      <c r="D233" s="357"/>
      <c r="E233" s="357"/>
      <c r="F233" s="357"/>
      <c r="G233" s="357"/>
      <c r="H233" s="97">
        <f>H223+H231</f>
        <v>189515.59999999998</v>
      </c>
    </row>
    <row r="234" spans="1:8" x14ac:dyDescent="0.2">
      <c r="C234" s="363" t="s">
        <v>840</v>
      </c>
      <c r="D234" s="363"/>
      <c r="E234" s="363"/>
      <c r="F234" s="363"/>
      <c r="G234" s="95">
        <f>H233*10%</f>
        <v>18951.559999999998</v>
      </c>
      <c r="H234" s="52"/>
    </row>
    <row r="235" spans="1:8" x14ac:dyDescent="0.2">
      <c r="C235" s="357" t="s">
        <v>267</v>
      </c>
      <c r="D235" s="357"/>
      <c r="E235" s="357"/>
      <c r="F235" s="357"/>
      <c r="G235" s="357"/>
      <c r="H235" s="89">
        <f>H233+G234</f>
        <v>208467.15999999997</v>
      </c>
    </row>
    <row r="236" spans="1:8" x14ac:dyDescent="0.2">
      <c r="B236" s="8"/>
    </row>
    <row r="237" spans="1:8" x14ac:dyDescent="0.2">
      <c r="B237" s="75"/>
    </row>
    <row r="238" spans="1:8" x14ac:dyDescent="0.2">
      <c r="A238" s="126" t="str">
        <f>CAPEX!$A$13</f>
        <v>1.9</v>
      </c>
      <c r="B238" s="77"/>
      <c r="C238" s="349" t="str">
        <f>CAPEX!$B$13</f>
        <v>Investigação Confirmatória de Áreas Potencialmente Contaminadas</v>
      </c>
      <c r="D238" s="350"/>
      <c r="E238" s="350"/>
      <c r="F238" s="350"/>
      <c r="G238" s="350"/>
      <c r="H238" s="38">
        <f>H253</f>
        <v>1214295.9099999999</v>
      </c>
    </row>
    <row r="239" spans="1:8" ht="24" x14ac:dyDescent="0.2">
      <c r="A239" s="138"/>
      <c r="B239" s="139"/>
      <c r="C239" s="45" t="s">
        <v>109</v>
      </c>
      <c r="D239" s="45" t="s">
        <v>28</v>
      </c>
      <c r="E239" s="45" t="s">
        <v>110</v>
      </c>
      <c r="F239" s="45" t="s">
        <v>111</v>
      </c>
      <c r="G239" s="45" t="s">
        <v>112</v>
      </c>
      <c r="H239" s="78" t="s">
        <v>113</v>
      </c>
    </row>
    <row r="240" spans="1:8" ht="24" x14ac:dyDescent="0.2">
      <c r="A240" s="138"/>
      <c r="B240" s="139"/>
      <c r="C240" s="222" t="s">
        <v>339</v>
      </c>
      <c r="D240" s="26">
        <f>15*6</f>
        <v>90</v>
      </c>
      <c r="E240" s="26">
        <v>7</v>
      </c>
      <c r="F240" s="26" t="s">
        <v>340</v>
      </c>
      <c r="G240" s="95">
        <f>'SIEC-CPTM'!$D$26</f>
        <v>397.5</v>
      </c>
      <c r="H240" s="95">
        <f t="shared" ref="H240" si="29">D240*E240*G240</f>
        <v>250425</v>
      </c>
    </row>
    <row r="241" spans="1:8" x14ac:dyDescent="0.2">
      <c r="A241" s="224"/>
      <c r="B241" s="225"/>
      <c r="C241" s="222" t="s">
        <v>341</v>
      </c>
      <c r="D241" s="26">
        <f>15*6</f>
        <v>90</v>
      </c>
      <c r="E241" s="26">
        <v>5</v>
      </c>
      <c r="F241" s="26" t="s">
        <v>340</v>
      </c>
      <c r="G241" s="95">
        <f>'SIEC-CPTM'!$D$27</f>
        <v>208.52</v>
      </c>
      <c r="H241" s="95">
        <f t="shared" ref="H241:H250" si="30">D241*E241*G241</f>
        <v>93834</v>
      </c>
    </row>
    <row r="242" spans="1:8" x14ac:dyDescent="0.2">
      <c r="A242" s="224"/>
      <c r="B242" s="225"/>
      <c r="C242" s="222" t="s">
        <v>342</v>
      </c>
      <c r="D242" s="26">
        <f>15*6</f>
        <v>90</v>
      </c>
      <c r="E242" s="26">
        <v>5</v>
      </c>
      <c r="F242" s="26" t="s">
        <v>338</v>
      </c>
      <c r="G242" s="95">
        <f>'SIEC-CPTM'!$D$22</f>
        <v>229.11</v>
      </c>
      <c r="H242" s="95">
        <f t="shared" si="30"/>
        <v>103099.5</v>
      </c>
    </row>
    <row r="243" spans="1:8" ht="12.75" customHeight="1" x14ac:dyDescent="0.2">
      <c r="A243" s="224"/>
      <c r="B243" s="225"/>
      <c r="C243" s="222" t="s">
        <v>343</v>
      </c>
      <c r="D243" s="26">
        <f>15*6</f>
        <v>90</v>
      </c>
      <c r="E243" s="26">
        <v>5</v>
      </c>
      <c r="F243" s="26" t="s">
        <v>338</v>
      </c>
      <c r="G243" s="95">
        <f>'SIEC-CPTM'!$D$21</f>
        <v>268.82</v>
      </c>
      <c r="H243" s="95">
        <f t="shared" si="30"/>
        <v>120969</v>
      </c>
    </row>
    <row r="244" spans="1:8" x14ac:dyDescent="0.2">
      <c r="A244" s="224"/>
      <c r="B244" s="225"/>
      <c r="C244" s="222" t="s">
        <v>344</v>
      </c>
      <c r="D244" s="26">
        <f>15*6</f>
        <v>90</v>
      </c>
      <c r="E244" s="26">
        <v>1</v>
      </c>
      <c r="F244" s="26" t="s">
        <v>338</v>
      </c>
      <c r="G244" s="95">
        <f>'SIEC-CPTM'!$D$20</f>
        <v>199.82</v>
      </c>
      <c r="H244" s="95">
        <f>D244*E244*G244</f>
        <v>17983.8</v>
      </c>
    </row>
    <row r="245" spans="1:8" x14ac:dyDescent="0.2">
      <c r="A245" s="224"/>
      <c r="B245" s="225"/>
      <c r="C245" s="222" t="s">
        <v>345</v>
      </c>
      <c r="D245" s="26">
        <f>(6+2)*6*15</f>
        <v>720</v>
      </c>
      <c r="E245" s="26">
        <v>1</v>
      </c>
      <c r="F245" s="26" t="s">
        <v>338</v>
      </c>
      <c r="G245" s="95">
        <f>'SIEC-CPTM'!$D$24</f>
        <v>138.61000000000001</v>
      </c>
      <c r="H245" s="95">
        <f t="shared" si="30"/>
        <v>99799.200000000012</v>
      </c>
    </row>
    <row r="246" spans="1:8" x14ac:dyDescent="0.2">
      <c r="A246" s="224"/>
      <c r="B246" s="225"/>
      <c r="C246" s="222" t="s">
        <v>346</v>
      </c>
      <c r="D246" s="26">
        <f>(6+2)*6*15</f>
        <v>720</v>
      </c>
      <c r="E246" s="26">
        <v>1</v>
      </c>
      <c r="F246" s="26" t="s">
        <v>338</v>
      </c>
      <c r="G246" s="95">
        <f>'SIEC-CPTM'!$D$22</f>
        <v>229.11</v>
      </c>
      <c r="H246" s="95">
        <f>D246*E246*G246</f>
        <v>164959.20000000001</v>
      </c>
    </row>
    <row r="247" spans="1:8" x14ac:dyDescent="0.2">
      <c r="A247" s="224"/>
      <c r="B247" s="225"/>
      <c r="C247" s="222" t="s">
        <v>347</v>
      </c>
      <c r="D247" s="26">
        <f>(6+2)*6*15</f>
        <v>720</v>
      </c>
      <c r="E247" s="26">
        <v>1</v>
      </c>
      <c r="F247" s="26" t="s">
        <v>338</v>
      </c>
      <c r="G247" s="95">
        <f>'SIEC-CPTM'!$D$21</f>
        <v>268.82</v>
      </c>
      <c r="H247" s="95">
        <f t="shared" si="30"/>
        <v>193550.4</v>
      </c>
    </row>
    <row r="248" spans="1:8" x14ac:dyDescent="0.2">
      <c r="A248" s="224"/>
      <c r="B248" s="225"/>
      <c r="C248" s="222" t="s">
        <v>348</v>
      </c>
      <c r="D248" s="26">
        <f>(6+2)*6*15</f>
        <v>720</v>
      </c>
      <c r="E248" s="26">
        <v>1</v>
      </c>
      <c r="F248" s="26" t="s">
        <v>338</v>
      </c>
      <c r="G248" s="95">
        <f>'SIEC-CPTM'!$D$20</f>
        <v>199.82</v>
      </c>
      <c r="H248" s="95">
        <f t="shared" si="30"/>
        <v>143870.39999999999</v>
      </c>
    </row>
    <row r="249" spans="1:8" x14ac:dyDescent="0.2">
      <c r="A249" s="224"/>
      <c r="B249" s="225"/>
      <c r="C249" s="222" t="s">
        <v>349</v>
      </c>
      <c r="D249" s="26">
        <v>1</v>
      </c>
      <c r="E249" s="26">
        <v>1</v>
      </c>
      <c r="F249" s="26" t="s">
        <v>338</v>
      </c>
      <c r="G249" s="95">
        <f>'SIEC-CPTM'!$D$23</f>
        <v>18974.5</v>
      </c>
      <c r="H249" s="95">
        <f>D249*E249*G249</f>
        <v>18974.5</v>
      </c>
    </row>
    <row r="250" spans="1:8" x14ac:dyDescent="0.2">
      <c r="A250" s="224"/>
      <c r="B250" s="225"/>
      <c r="C250" s="222" t="s">
        <v>350</v>
      </c>
      <c r="D250" s="26">
        <f t="shared" ref="D250:D252" si="31">15*6</f>
        <v>90</v>
      </c>
      <c r="E250" s="26">
        <v>0.1</v>
      </c>
      <c r="F250" s="26" t="s">
        <v>351</v>
      </c>
      <c r="G250" s="95">
        <f>'SIEC-CPTM'!$D$29</f>
        <v>15.38</v>
      </c>
      <c r="H250" s="95">
        <f t="shared" si="30"/>
        <v>138.42000000000002</v>
      </c>
    </row>
    <row r="251" spans="1:8" x14ac:dyDescent="0.2">
      <c r="A251" s="138"/>
      <c r="B251" s="139"/>
      <c r="C251" s="222" t="s">
        <v>940</v>
      </c>
      <c r="D251" s="26">
        <f t="shared" si="31"/>
        <v>90</v>
      </c>
      <c r="E251" s="26">
        <f>0.1*100</f>
        <v>10</v>
      </c>
      <c r="F251" s="26" t="s">
        <v>352</v>
      </c>
      <c r="G251" s="95">
        <f>'SIEC-CPTM'!$D$30</f>
        <v>1.24</v>
      </c>
      <c r="H251" s="95">
        <f>D251*E251*G251</f>
        <v>1116</v>
      </c>
    </row>
    <row r="252" spans="1:8" x14ac:dyDescent="0.2">
      <c r="C252" s="222" t="s">
        <v>353</v>
      </c>
      <c r="D252" s="26">
        <f t="shared" si="31"/>
        <v>90</v>
      </c>
      <c r="E252" s="26">
        <v>0.1</v>
      </c>
      <c r="F252" s="26" t="s">
        <v>351</v>
      </c>
      <c r="G252" s="95">
        <f>'SIEC-CPTM'!$D$31</f>
        <v>619.61</v>
      </c>
      <c r="H252" s="95">
        <f>D252*E252*G252</f>
        <v>5576.49</v>
      </c>
    </row>
    <row r="253" spans="1:8" x14ac:dyDescent="0.2">
      <c r="C253" s="364" t="s">
        <v>267</v>
      </c>
      <c r="D253" s="364"/>
      <c r="E253" s="364"/>
      <c r="F253" s="364"/>
      <c r="G253" s="364"/>
      <c r="H253" s="89">
        <f>SUM(H240:H252)</f>
        <v>1214295.9099999999</v>
      </c>
    </row>
    <row r="254" spans="1:8" x14ac:dyDescent="0.2">
      <c r="B254" s="8"/>
    </row>
    <row r="255" spans="1:8" x14ac:dyDescent="0.2">
      <c r="B255" s="75"/>
    </row>
    <row r="256" spans="1:8" x14ac:dyDescent="0.2">
      <c r="A256" s="126" t="str">
        <f>CAPEX!$A$14</f>
        <v>1.10</v>
      </c>
      <c r="B256" s="77"/>
      <c r="C256" s="349" t="str">
        <f>CAPEX!$B$14</f>
        <v>Obtenção da Licença de Operação das Obras do Túnel Imerso</v>
      </c>
      <c r="D256" s="350"/>
      <c r="E256" s="350"/>
      <c r="F256" s="350"/>
      <c r="G256" s="350"/>
      <c r="H256" s="38">
        <f>H280</f>
        <v>317515</v>
      </c>
    </row>
    <row r="257" spans="1:8" ht="24" x14ac:dyDescent="0.2">
      <c r="A257" s="112"/>
      <c r="C257" s="45" t="s">
        <v>109</v>
      </c>
      <c r="D257" s="45" t="s">
        <v>28</v>
      </c>
      <c r="E257" s="45" t="s">
        <v>110</v>
      </c>
      <c r="F257" s="45" t="s">
        <v>111</v>
      </c>
      <c r="G257" s="45" t="s">
        <v>112</v>
      </c>
      <c r="H257" s="78" t="s">
        <v>113</v>
      </c>
    </row>
    <row r="258" spans="1:8" x14ac:dyDescent="0.2">
      <c r="A258" s="112"/>
      <c r="C258" s="361" t="s">
        <v>190</v>
      </c>
      <c r="D258" s="361"/>
      <c r="E258" s="361"/>
      <c r="F258" s="361"/>
      <c r="G258" s="361"/>
      <c r="H258" s="361"/>
    </row>
    <row r="259" spans="1:8" x14ac:dyDescent="0.2">
      <c r="A259" s="112"/>
      <c r="B259" s="80" t="s">
        <v>116</v>
      </c>
      <c r="C259" s="81" t="s">
        <v>117</v>
      </c>
      <c r="D259" s="82">
        <v>1</v>
      </c>
      <c r="E259" s="82">
        <v>16</v>
      </c>
      <c r="F259" s="82" t="s">
        <v>118</v>
      </c>
      <c r="G259" s="83">
        <f>INDEX('TPU MAR-24'!$D$9:$D$999,MATCH(B259,'TPU MAR-24'!$A$9:$A$999,0))</f>
        <v>391.54</v>
      </c>
      <c r="H259" s="83">
        <f>IF(D259&lt;&gt;"",D259*E259*G259,"")</f>
        <v>6264.64</v>
      </c>
    </row>
    <row r="260" spans="1:8" x14ac:dyDescent="0.2">
      <c r="A260" s="88"/>
      <c r="B260" s="80" t="s">
        <v>123</v>
      </c>
      <c r="C260" s="81" t="s">
        <v>256</v>
      </c>
      <c r="D260" s="82">
        <v>1</v>
      </c>
      <c r="E260" s="82">
        <v>80</v>
      </c>
      <c r="F260" s="82" t="s">
        <v>118</v>
      </c>
      <c r="G260" s="83">
        <f>INDEX('TPU MAR-24'!$D$9:$D$999,MATCH(B260,'TPU MAR-24'!$A$9:$A$999,0))</f>
        <v>268.08</v>
      </c>
      <c r="H260" s="83">
        <f t="shared" ref="H260:H263" si="32">IF(D260&lt;&gt;"",D260*E260*G260,"")</f>
        <v>21446.399999999998</v>
      </c>
    </row>
    <row r="261" spans="1:8" x14ac:dyDescent="0.2">
      <c r="A261" s="88"/>
      <c r="B261" s="84" t="s">
        <v>140</v>
      </c>
      <c r="C261" s="81" t="s">
        <v>221</v>
      </c>
      <c r="D261" s="82">
        <v>1</v>
      </c>
      <c r="E261" s="82">
        <v>160</v>
      </c>
      <c r="F261" s="82" t="s">
        <v>118</v>
      </c>
      <c r="G261" s="83">
        <f>INDEX('TPU MAR-24'!$D$9:$D$999,MATCH(B261,'TPU MAR-24'!$A$9:$A$999,0))</f>
        <v>213.54</v>
      </c>
      <c r="H261" s="83">
        <f>IF(D261&lt;&gt;"",D261*E261*G261,"")</f>
        <v>34166.400000000001</v>
      </c>
    </row>
    <row r="262" spans="1:8" x14ac:dyDescent="0.2">
      <c r="A262" s="132"/>
      <c r="B262" s="84" t="s">
        <v>143</v>
      </c>
      <c r="C262" s="81" t="s">
        <v>200</v>
      </c>
      <c r="D262" s="82">
        <v>1</v>
      </c>
      <c r="E262" s="82">
        <v>32</v>
      </c>
      <c r="F262" s="82" t="s">
        <v>118</v>
      </c>
      <c r="G262" s="83">
        <f>INDEX('TPU MAR-24'!$D$9:$D$999,MATCH(B262,'TPU MAR-24'!$A$9:$A$999,0))</f>
        <v>94.41</v>
      </c>
      <c r="H262" s="83">
        <f t="shared" si="32"/>
        <v>3021.12</v>
      </c>
    </row>
    <row r="263" spans="1:8" x14ac:dyDescent="0.2">
      <c r="A263" s="112"/>
      <c r="B263" s="84" t="s">
        <v>146</v>
      </c>
      <c r="C263" s="81" t="s">
        <v>147</v>
      </c>
      <c r="D263" s="82">
        <v>1</v>
      </c>
      <c r="E263" s="82">
        <f>IF(AND($K$4&gt;=8,$K$4&lt;50),1*$K$15,IF(AND($K$4&gt;=50,$K$4&lt;100),1*$K$15,IF(AND($K$4&gt;=100,$K$4&lt;200),1*$K$15,IF($K$4&gt;=200,1*$K$15,""))))</f>
        <v>8</v>
      </c>
      <c r="F263" s="82" t="s">
        <v>118</v>
      </c>
      <c r="G263" s="83">
        <f>INDEX('TPU MAR-24'!$D$9:$D$999,MATCH(B263,'TPU MAR-24'!$A$9:$A$999,0))</f>
        <v>46.06</v>
      </c>
      <c r="H263" s="83">
        <f t="shared" si="32"/>
        <v>368.48</v>
      </c>
    </row>
    <row r="264" spans="1:8" x14ac:dyDescent="0.2">
      <c r="A264" s="112"/>
      <c r="B264" s="133"/>
      <c r="C264" s="361" t="s">
        <v>149</v>
      </c>
      <c r="D264" s="361"/>
      <c r="E264" s="361"/>
      <c r="F264" s="361"/>
      <c r="G264" s="361"/>
      <c r="H264" s="361"/>
    </row>
    <row r="265" spans="1:8" x14ac:dyDescent="0.2">
      <c r="A265" s="88"/>
      <c r="B265" s="80" t="s">
        <v>123</v>
      </c>
      <c r="C265" s="81" t="s">
        <v>256</v>
      </c>
      <c r="D265" s="82">
        <v>1</v>
      </c>
      <c r="E265" s="82">
        <f>IF(AND($K$4&gt;=8,$K$4&lt;50),(1+$K$19)*$K$16,IF(AND($K$4&gt;=50,$K$4&lt;100),(1+$K$19)*$K$16,IF(AND($K$4&gt;=100,$K$4&lt;200),(2+$K$19)*$K$16,IF($K$4&gt;=200,(2+$K$19)*$K$16,""))))</f>
        <v>20</v>
      </c>
      <c r="F265" s="82" t="s">
        <v>118</v>
      </c>
      <c r="G265" s="83">
        <f>INDEX('TPU MAR-24'!$D$9:$D$999,MATCH(B265,'TPU MAR-24'!$A$9:$A$999,0))</f>
        <v>268.08</v>
      </c>
      <c r="H265" s="83">
        <f t="shared" ref="H265:H267" si="33">D265*E265*G265</f>
        <v>5361.5999999999995</v>
      </c>
    </row>
    <row r="266" spans="1:8" x14ac:dyDescent="0.2">
      <c r="A266" s="132"/>
      <c r="B266" s="84" t="s">
        <v>140</v>
      </c>
      <c r="C266" s="81" t="s">
        <v>221</v>
      </c>
      <c r="D266" s="82">
        <v>1</v>
      </c>
      <c r="E266" s="82">
        <f>IF(AND($K$4&gt;=8,$K$4&lt;50),(1+$K$19)*$K$16,IF(AND($K$4&gt;=50,$K$4&lt;100),(1+$K$19)*$K$16,IF(AND($K$4&gt;=100,$K$4&lt;200),(2+$K$19)*$K$16,IF($K$4&gt;=200,(2+$K$19)*$K$16,""))))</f>
        <v>20</v>
      </c>
      <c r="F266" s="82" t="s">
        <v>118</v>
      </c>
      <c r="G266" s="83">
        <f>INDEX('TPU MAR-24'!$D$9:$D$999,MATCH(B266,'TPU MAR-24'!$A$9:$A$999,0))</f>
        <v>213.54</v>
      </c>
      <c r="H266" s="83">
        <f t="shared" si="33"/>
        <v>4270.8</v>
      </c>
    </row>
    <row r="267" spans="1:8" x14ac:dyDescent="0.2">
      <c r="B267" s="84" t="s">
        <v>153</v>
      </c>
      <c r="C267" s="81" t="s">
        <v>154</v>
      </c>
      <c r="D267" s="82">
        <v>1</v>
      </c>
      <c r="E267" s="82">
        <f>IF(AND($K$4&gt;=8,$K$4&lt;50),(1)*$K$16,IF(AND($K$4&gt;=50,$K$4&lt;100),(1)*$K$16,IF(AND($K$4&gt;=100,$K$4&lt;200),(2)*$K$16,IF($K$4&gt;=200,(2)*$K$16,""))))</f>
        <v>10</v>
      </c>
      <c r="F267" s="82" t="s">
        <v>118</v>
      </c>
      <c r="G267" s="83">
        <f>INDEX('TPU MAR-24'!$D$9:$D$999,MATCH(B267,'TPU MAR-24'!$A$9:$A$999,0))</f>
        <v>25.5</v>
      </c>
      <c r="H267" s="83">
        <f t="shared" si="33"/>
        <v>255</v>
      </c>
    </row>
    <row r="268" spans="1:8" x14ac:dyDescent="0.2">
      <c r="B268" s="75"/>
      <c r="C268" s="357" t="s">
        <v>156</v>
      </c>
      <c r="D268" s="357"/>
      <c r="E268" s="357"/>
      <c r="F268" s="357"/>
      <c r="G268" s="357"/>
      <c r="H268" s="89">
        <f>SUM(H259:H267)</f>
        <v>75154.440000000017</v>
      </c>
    </row>
    <row r="269" spans="1:8" x14ac:dyDescent="0.2">
      <c r="B269" s="75"/>
      <c r="C269" s="361" t="s">
        <v>158</v>
      </c>
      <c r="D269" s="361"/>
      <c r="E269" s="361"/>
      <c r="F269" s="361"/>
      <c r="G269" s="361"/>
      <c r="H269" s="361"/>
    </row>
    <row r="270" spans="1:8" x14ac:dyDescent="0.2">
      <c r="B270" s="75"/>
      <c r="C270" s="81" t="s">
        <v>354</v>
      </c>
      <c r="D270" s="82">
        <f>D265</f>
        <v>1</v>
      </c>
      <c r="E270" s="82">
        <f>IF(AND($K$4&gt;=8,$K$4&lt;50),(1+$K$19),IF(AND($K$4&gt;=50,$K$4&lt;100),(1+$K$19),IF(AND($K$4&gt;=100,$K$4&lt;200),(2+$K$19),IF($K$4&gt;=200,(2+$K$19),""))))</f>
        <v>2</v>
      </c>
      <c r="F270" s="82" t="s">
        <v>161</v>
      </c>
      <c r="G270" s="83">
        <f>'TPU MAR-24'!$C$52</f>
        <v>318.24</v>
      </c>
      <c r="H270" s="83">
        <f t="shared" ref="H270:H272" si="34">IF(D270&lt;&gt;"",D270*E270*G270,"")</f>
        <v>636.48</v>
      </c>
    </row>
    <row r="271" spans="1:8" x14ac:dyDescent="0.2">
      <c r="B271" s="75"/>
      <c r="C271" s="81" t="s">
        <v>221</v>
      </c>
      <c r="D271" s="82">
        <f>D266</f>
        <v>1</v>
      </c>
      <c r="E271" s="82">
        <f>IF(AND($K$4&gt;=8,$K$4&lt;50),(1+$K$19),IF(AND($K$4&gt;=50,$K$4&lt;100),(1+$K$19),IF(AND($K$4&gt;=100,$K$4&lt;200),(2+$K$19),IF($K$4&gt;=200,(2+$K$19),""))))</f>
        <v>2</v>
      </c>
      <c r="F271" s="82" t="s">
        <v>161</v>
      </c>
      <c r="G271" s="83">
        <f>'TPU MAR-24'!$C$52</f>
        <v>318.24</v>
      </c>
      <c r="H271" s="83">
        <f t="shared" si="34"/>
        <v>636.48</v>
      </c>
    </row>
    <row r="272" spans="1:8" x14ac:dyDescent="0.2">
      <c r="A272" s="132"/>
      <c r="B272" s="133"/>
      <c r="C272" s="81" t="s">
        <v>165</v>
      </c>
      <c r="D272" s="82">
        <f>D267</f>
        <v>1</v>
      </c>
      <c r="E272" s="82">
        <f>IF(AND($K$4&gt;=8,$K$4&lt;50),(1),IF(AND($K$4&gt;=50,$K$4&lt;100),(1),IF(AND($K$4&gt;=100,$K$4&lt;200),(2),IF($K$4&gt;=200,(2),""))))</f>
        <v>1</v>
      </c>
      <c r="F272" s="82" t="s">
        <v>161</v>
      </c>
      <c r="G272" s="83">
        <f>'TPU MAR-24'!$C$53</f>
        <v>159.12</v>
      </c>
      <c r="H272" s="83">
        <f t="shared" si="34"/>
        <v>159.12</v>
      </c>
    </row>
    <row r="273" spans="1:8" x14ac:dyDescent="0.2">
      <c r="A273" s="132"/>
      <c r="B273" s="133"/>
      <c r="C273" s="81" t="s">
        <v>167</v>
      </c>
      <c r="D273" s="26">
        <v>1</v>
      </c>
      <c r="E273" s="82">
        <v>1</v>
      </c>
      <c r="F273" s="82" t="s">
        <v>321</v>
      </c>
      <c r="G273" s="83">
        <v>1500</v>
      </c>
      <c r="H273" s="83">
        <f>IF(D273&lt;&gt;"",D273*E273*G273,"")</f>
        <v>1500</v>
      </c>
    </row>
    <row r="274" spans="1:8" x14ac:dyDescent="0.2">
      <c r="A274" s="132"/>
      <c r="B274" s="133"/>
      <c r="C274" s="81" t="s">
        <v>170</v>
      </c>
      <c r="D274" s="26">
        <f>D265</f>
        <v>1</v>
      </c>
      <c r="E274" s="82">
        <f>IF(AND($K$4&gt;=8,$K$4&lt;50),(1+$K$19),IF(AND($K$4&gt;=50,$K$4&lt;100),(1+$K$19),IF(AND($K$4&gt;=100,$K$4&lt;200),(2+$K$19),IF($K$4&gt;=200,(2+$K$19),""))))</f>
        <v>2</v>
      </c>
      <c r="F274" s="26" t="s">
        <v>161</v>
      </c>
      <c r="G274" s="95">
        <f>'TPU MAR-24'!$D$42</f>
        <v>193.64</v>
      </c>
      <c r="H274" s="83">
        <f t="shared" ref="H274" si="35">IF(D274&lt;&gt;"",D274*E274*G274,"")</f>
        <v>387.28</v>
      </c>
    </row>
    <row r="275" spans="1:8" s="223" customFormat="1" x14ac:dyDescent="0.2">
      <c r="A275" s="132"/>
      <c r="B275" s="133"/>
      <c r="C275" s="81" t="s">
        <v>401</v>
      </c>
      <c r="D275" s="26">
        <f>D267</f>
        <v>1</v>
      </c>
      <c r="E275" s="82">
        <f>$K$6</f>
        <v>280</v>
      </c>
      <c r="F275" s="26" t="s">
        <v>173</v>
      </c>
      <c r="G275" s="95">
        <f>'TPU MAR-24'!$D$40</f>
        <v>1.29</v>
      </c>
      <c r="H275" s="83">
        <f>IF(D275&lt;&gt;"",D275*E275*G275,"")</f>
        <v>361.2</v>
      </c>
    </row>
    <row r="276" spans="1:8" s="223" customFormat="1" x14ac:dyDescent="0.2">
      <c r="A276" s="132"/>
      <c r="B276" s="133"/>
      <c r="C276" s="357" t="s">
        <v>175</v>
      </c>
      <c r="D276" s="357"/>
      <c r="E276" s="357"/>
      <c r="F276" s="357"/>
      <c r="G276" s="357"/>
      <c r="H276" s="97">
        <f>SUM(H270:H275)</f>
        <v>3680.5599999999995</v>
      </c>
    </row>
    <row r="277" spans="1:8" s="223" customFormat="1" x14ac:dyDescent="0.2">
      <c r="A277" s="8"/>
      <c r="B277" s="127"/>
      <c r="C277" s="361" t="s">
        <v>177</v>
      </c>
      <c r="D277" s="361"/>
      <c r="E277" s="361"/>
      <c r="F277" s="361"/>
      <c r="G277" s="361"/>
      <c r="H277" s="361"/>
    </row>
    <row r="278" spans="1:8" s="223" customFormat="1" x14ac:dyDescent="0.2">
      <c r="A278" s="8"/>
      <c r="B278" s="75"/>
      <c r="C278" s="357" t="s">
        <v>179</v>
      </c>
      <c r="D278" s="357"/>
      <c r="E278" s="357"/>
      <c r="F278" s="357"/>
      <c r="G278" s="357"/>
      <c r="H278" s="97">
        <f>H268+H276</f>
        <v>78835.000000000015</v>
      </c>
    </row>
    <row r="279" spans="1:8" s="223" customFormat="1" x14ac:dyDescent="0.2">
      <c r="A279" s="8"/>
      <c r="B279" s="100"/>
      <c r="C279" s="358" t="s">
        <v>355</v>
      </c>
      <c r="D279" s="359"/>
      <c r="E279" s="359"/>
      <c r="F279" s="360"/>
      <c r="G279" s="97">
        <f>'Taxa Licenciamento'!$D$13</f>
        <v>238680</v>
      </c>
      <c r="H279" s="42"/>
    </row>
    <row r="280" spans="1:8" s="223" customFormat="1" x14ac:dyDescent="0.2">
      <c r="A280" s="8"/>
      <c r="B280" s="100"/>
      <c r="C280" s="357" t="s">
        <v>267</v>
      </c>
      <c r="D280" s="357"/>
      <c r="E280" s="357"/>
      <c r="F280" s="357"/>
      <c r="G280" s="357"/>
      <c r="H280" s="89">
        <f>H278+G279</f>
        <v>317515</v>
      </c>
    </row>
    <row r="281" spans="1:8" s="223" customFormat="1" x14ac:dyDescent="0.2">
      <c r="A281" s="8"/>
      <c r="B281" s="100"/>
      <c r="C281" s="8"/>
      <c r="D281" s="8"/>
      <c r="E281" s="8"/>
      <c r="F281" s="8"/>
      <c r="G281" s="8"/>
      <c r="H281" s="8"/>
    </row>
    <row r="282" spans="1:8" s="223" customFormat="1" x14ac:dyDescent="0.2">
      <c r="A282" s="8"/>
      <c r="B282" s="100"/>
      <c r="C282" s="8"/>
      <c r="D282" s="8"/>
      <c r="E282" s="8"/>
      <c r="F282" s="8"/>
      <c r="G282" s="8"/>
      <c r="H282" s="8"/>
    </row>
    <row r="283" spans="1:8" s="223" customFormat="1" x14ac:dyDescent="0.2">
      <c r="A283" s="8"/>
      <c r="B283" s="100"/>
      <c r="C283" s="8"/>
      <c r="D283" s="8"/>
      <c r="E283" s="8"/>
      <c r="F283" s="8"/>
      <c r="G283" s="8"/>
      <c r="H283" s="8"/>
    </row>
    <row r="284" spans="1:8" s="223" customFormat="1" x14ac:dyDescent="0.2">
      <c r="A284" s="8"/>
      <c r="B284" s="100"/>
      <c r="C284" s="8"/>
      <c r="D284" s="8"/>
      <c r="E284" s="8"/>
      <c r="F284" s="8"/>
      <c r="G284" s="8"/>
      <c r="H284" s="8"/>
    </row>
    <row r="285" spans="1:8" s="223" customFormat="1" x14ac:dyDescent="0.2">
      <c r="A285" s="8"/>
      <c r="B285" s="100"/>
      <c r="C285" s="8"/>
      <c r="D285" s="8"/>
      <c r="E285" s="8"/>
      <c r="F285" s="8"/>
      <c r="G285" s="8"/>
      <c r="H285" s="8"/>
    </row>
    <row r="286" spans="1:8" s="223" customFormat="1" x14ac:dyDescent="0.2">
      <c r="A286" s="8"/>
      <c r="B286" s="100"/>
      <c r="C286" s="8"/>
      <c r="D286" s="8"/>
      <c r="E286" s="8"/>
      <c r="F286" s="8"/>
      <c r="G286" s="8"/>
      <c r="H286" s="8"/>
    </row>
    <row r="287" spans="1:8" s="223" customFormat="1" x14ac:dyDescent="0.2">
      <c r="A287" s="8"/>
      <c r="B287" s="100"/>
      <c r="C287" s="8"/>
      <c r="D287" s="8"/>
      <c r="E287" s="8"/>
      <c r="F287" s="8"/>
      <c r="G287" s="8"/>
      <c r="H287" s="8"/>
    </row>
    <row r="288" spans="1:8" s="223" customFormat="1" x14ac:dyDescent="0.2">
      <c r="A288" s="8"/>
      <c r="B288" s="100"/>
      <c r="C288" s="8"/>
      <c r="D288" s="8"/>
      <c r="E288" s="8"/>
      <c r="F288" s="8"/>
      <c r="G288" s="8"/>
      <c r="H288" s="8"/>
    </row>
    <row r="289" spans="1:8" s="223" customFormat="1" x14ac:dyDescent="0.2">
      <c r="A289" s="8"/>
      <c r="B289" s="100"/>
      <c r="C289" s="8"/>
      <c r="D289" s="8"/>
      <c r="E289" s="8"/>
      <c r="F289" s="8"/>
      <c r="G289" s="8"/>
      <c r="H289" s="8"/>
    </row>
  </sheetData>
  <mergeCells count="86">
    <mergeCell ref="C264:H264"/>
    <mergeCell ref="C212:H212"/>
    <mergeCell ref="C219:H219"/>
    <mergeCell ref="C223:G223"/>
    <mergeCell ref="C224:H224"/>
    <mergeCell ref="C231:G231"/>
    <mergeCell ref="C232:H232"/>
    <mergeCell ref="C233:G233"/>
    <mergeCell ref="C234:F234"/>
    <mergeCell ref="C235:G235"/>
    <mergeCell ref="C256:G256"/>
    <mergeCell ref="C258:H258"/>
    <mergeCell ref="C238:G238"/>
    <mergeCell ref="C253:G253"/>
    <mergeCell ref="C280:G280"/>
    <mergeCell ref="C268:G268"/>
    <mergeCell ref="C269:H269"/>
    <mergeCell ref="C276:G276"/>
    <mergeCell ref="C277:H277"/>
    <mergeCell ref="C278:G278"/>
    <mergeCell ref="C279:F279"/>
    <mergeCell ref="C210:G210"/>
    <mergeCell ref="C207:G207"/>
    <mergeCell ref="C181:G181"/>
    <mergeCell ref="C183:H183"/>
    <mergeCell ref="C191:H191"/>
    <mergeCell ref="C195:G195"/>
    <mergeCell ref="C196:H196"/>
    <mergeCell ref="C204:G204"/>
    <mergeCell ref="C205:H205"/>
    <mergeCell ref="C206:G206"/>
    <mergeCell ref="C156:H156"/>
    <mergeCell ref="C163:H163"/>
    <mergeCell ref="C30:G30"/>
    <mergeCell ref="C31:H31"/>
    <mergeCell ref="C51:G51"/>
    <mergeCell ref="C52:H52"/>
    <mergeCell ref="C53:G53"/>
    <mergeCell ref="C54:F54"/>
    <mergeCell ref="C150:G150"/>
    <mergeCell ref="C151:G151"/>
    <mergeCell ref="C154:G154"/>
    <mergeCell ref="C137:G137"/>
    <mergeCell ref="C139:H139"/>
    <mergeCell ref="C145:G145"/>
    <mergeCell ref="C146:H146"/>
    <mergeCell ref="C148:G148"/>
    <mergeCell ref="C178:G178"/>
    <mergeCell ref="C166:G166"/>
    <mergeCell ref="C167:H167"/>
    <mergeCell ref="C174:G174"/>
    <mergeCell ref="C175:H175"/>
    <mergeCell ref="C176:G176"/>
    <mergeCell ref="C177:G177"/>
    <mergeCell ref="C80:G80"/>
    <mergeCell ref="C81:H81"/>
    <mergeCell ref="C82:G82"/>
    <mergeCell ref="A1:H1"/>
    <mergeCell ref="C149:H149"/>
    <mergeCell ref="C3:G3"/>
    <mergeCell ref="C5:H5"/>
    <mergeCell ref="C83:F83"/>
    <mergeCell ref="C84:G84"/>
    <mergeCell ref="C87:G87"/>
    <mergeCell ref="C89:H89"/>
    <mergeCell ref="C21:H21"/>
    <mergeCell ref="C55:G55"/>
    <mergeCell ref="C58:G58"/>
    <mergeCell ref="C60:H60"/>
    <mergeCell ref="C71:G71"/>
    <mergeCell ref="C72:H72"/>
    <mergeCell ref="C134:G134"/>
    <mergeCell ref="C100:G100"/>
    <mergeCell ref="C101:H101"/>
    <mergeCell ref="C113:G113"/>
    <mergeCell ref="C114:H114"/>
    <mergeCell ref="C115:G115"/>
    <mergeCell ref="C116:F116"/>
    <mergeCell ref="C117:G117"/>
    <mergeCell ref="C120:G120"/>
    <mergeCell ref="C122:H122"/>
    <mergeCell ref="C128:G128"/>
    <mergeCell ref="C129:H129"/>
    <mergeCell ref="C131:G131"/>
    <mergeCell ref="C132:H132"/>
    <mergeCell ref="C133:G133"/>
  </mergeCells>
  <dataValidations disablePrompts="1" count="1">
    <dataValidation type="list" allowBlank="1" showInputMessage="1" showErrorMessage="1" sqref="K59" xr:uid="{1DB354C4-0487-45C5-B427-26B9D01A7CF8}">
      <formula1>"Baixo,Médio,Alto,Muito Alto"</formula1>
    </dataValidation>
  </dataValidations>
  <pageMargins left="0.511811024" right="0.511811024" top="0.78740157499999996" bottom="0.78740157499999996" header="0.31496062000000002" footer="0.31496062000000002"/>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589503-F9C8-4FBC-AC00-6ABA8E50EE5D}">
  <dimension ref="A1:G27"/>
  <sheetViews>
    <sheetView workbookViewId="0">
      <selection activeCell="B6" sqref="B6:C6"/>
    </sheetView>
  </sheetViews>
  <sheetFormatPr defaultColWidth="14.42578125" defaultRowHeight="12" x14ac:dyDescent="0.2"/>
  <cols>
    <col min="1" max="1" width="4.85546875" style="8" bestFit="1" customWidth="1"/>
    <col min="2" max="2" width="21" style="8" bestFit="1" customWidth="1"/>
    <col min="3" max="3" width="27.85546875" style="8" customWidth="1"/>
    <col min="4" max="4" width="20.42578125" style="8" bestFit="1" customWidth="1"/>
    <col min="5" max="5" width="8.42578125" style="8" customWidth="1"/>
    <col min="6" max="6" width="44.28515625" style="8" bestFit="1" customWidth="1"/>
    <col min="7" max="7" width="20.140625" style="8" customWidth="1"/>
    <col min="8" max="8" width="13.5703125" style="8" bestFit="1" customWidth="1"/>
    <col min="9" max="9" width="25.7109375" style="8" customWidth="1"/>
    <col min="10" max="16384" width="14.42578125" style="8"/>
  </cols>
  <sheetData>
    <row r="1" spans="1:7" s="25" customFormat="1" ht="12.75" customHeight="1" x14ac:dyDescent="0.25">
      <c r="A1" s="37" t="str">
        <f>CAPEX!$A$16</f>
        <v>2.</v>
      </c>
      <c r="B1" s="333" t="str">
        <f>CAPEX!$B$16</f>
        <v>OBRAS DE MITIGAÇÃO DE IMPACTOS SOCIOAMBIENTAIS</v>
      </c>
      <c r="C1" s="333"/>
      <c r="D1" s="333"/>
      <c r="E1" s="144"/>
      <c r="F1" s="36"/>
    </row>
    <row r="3" spans="1:7" ht="12.75" customHeight="1" x14ac:dyDescent="0.2">
      <c r="A3" s="37" t="str">
        <f>CAPEX!$A$17</f>
        <v>2.1</v>
      </c>
      <c r="B3" s="366" t="str">
        <f>CAPEX!$B$17</f>
        <v xml:space="preserve">Implantação de Caixas de Contenção de Produtos Perigosos </v>
      </c>
      <c r="C3" s="367"/>
      <c r="D3" s="38">
        <f>D6</f>
        <v>122867.43997664707</v>
      </c>
      <c r="F3" s="40" t="s">
        <v>373</v>
      </c>
      <c r="G3" s="40" t="s">
        <v>374</v>
      </c>
    </row>
    <row r="4" spans="1:7" ht="24" x14ac:dyDescent="0.2">
      <c r="B4" s="41" t="s">
        <v>375</v>
      </c>
      <c r="C4" s="45" t="s">
        <v>377</v>
      </c>
      <c r="D4" s="46" t="s">
        <v>189</v>
      </c>
      <c r="F4" s="42" t="s">
        <v>376</v>
      </c>
      <c r="G4" s="43">
        <f>MEMO_Obras_Mitigação!$K$55</f>
        <v>61433.719988323537</v>
      </c>
    </row>
    <row r="5" spans="1:7" x14ac:dyDescent="0.2">
      <c r="B5" s="39" t="s">
        <v>847</v>
      </c>
      <c r="C5" s="39">
        <v>2</v>
      </c>
      <c r="D5" s="47">
        <f>C5*$G$4</f>
        <v>122867.43997664707</v>
      </c>
    </row>
    <row r="6" spans="1:7" x14ac:dyDescent="0.2">
      <c r="B6" s="365"/>
      <c r="C6" s="365"/>
      <c r="D6" s="44">
        <f>SUM(D5:D5)</f>
        <v>122867.43997664707</v>
      </c>
    </row>
    <row r="9" spans="1:7" ht="12" customHeight="1" x14ac:dyDescent="0.2"/>
    <row r="15" spans="1:7" ht="12" customHeight="1" x14ac:dyDescent="0.2"/>
    <row r="27" ht="12.75" customHeight="1" x14ac:dyDescent="0.2"/>
  </sheetData>
  <mergeCells count="3">
    <mergeCell ref="B1:D1"/>
    <mergeCell ref="B6:C6"/>
    <mergeCell ref="B3:C3"/>
  </mergeCells>
  <pageMargins left="0.511811024" right="0.511811024" top="0.78740157499999996" bottom="0.78740157499999996" header="0.31496062000000002" footer="0.3149606200000000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990F6-8172-4E38-BECD-39CCAA50294D}">
  <dimension ref="A1:E15"/>
  <sheetViews>
    <sheetView zoomScale="90" zoomScaleNormal="90" workbookViewId="0">
      <selection activeCell="B4" sqref="B4:B7"/>
    </sheetView>
  </sheetViews>
  <sheetFormatPr defaultRowHeight="12" x14ac:dyDescent="0.2"/>
  <cols>
    <col min="1" max="1" width="49.140625" style="8" customWidth="1"/>
    <col min="2" max="2" width="23.42578125" style="8" customWidth="1"/>
    <col min="3" max="3" width="22.85546875" style="8" customWidth="1"/>
    <col min="4" max="4" width="29" style="8" customWidth="1"/>
    <col min="5" max="5" width="22" style="8" customWidth="1"/>
    <col min="6" max="7" width="15.42578125" style="8" customWidth="1"/>
    <col min="8" max="8" width="19" style="8" customWidth="1"/>
    <col min="9" max="9" width="14.42578125" style="8" customWidth="1"/>
    <col min="10" max="16384" width="9.140625" style="8"/>
  </cols>
  <sheetData>
    <row r="1" spans="1:5" ht="33" customHeight="1" x14ac:dyDescent="0.2">
      <c r="A1" s="372" t="s">
        <v>937</v>
      </c>
      <c r="B1" s="370" t="s">
        <v>939</v>
      </c>
    </row>
    <row r="2" spans="1:5" x14ac:dyDescent="0.2">
      <c r="A2" s="372"/>
      <c r="B2" s="371"/>
    </row>
    <row r="3" spans="1:5" x14ac:dyDescent="0.2">
      <c r="A3" s="372"/>
      <c r="B3" s="41" t="s">
        <v>378</v>
      </c>
    </row>
    <row r="4" spans="1:5" s="57" customFormat="1" x14ac:dyDescent="0.25">
      <c r="A4" s="13" t="s">
        <v>955</v>
      </c>
      <c r="B4" s="305">
        <v>1.56</v>
      </c>
    </row>
    <row r="5" spans="1:5" s="57" customFormat="1" x14ac:dyDescent="0.25">
      <c r="A5" s="13" t="s">
        <v>956</v>
      </c>
      <c r="B5" s="305">
        <v>0.6</v>
      </c>
    </row>
    <row r="6" spans="1:5" s="57" customFormat="1" x14ac:dyDescent="0.25">
      <c r="A6" s="13" t="s">
        <v>957</v>
      </c>
      <c r="B6" s="305">
        <v>0.38</v>
      </c>
    </row>
    <row r="7" spans="1:5" s="57" customFormat="1" x14ac:dyDescent="0.25">
      <c r="A7" s="13" t="s">
        <v>938</v>
      </c>
      <c r="B7" s="305">
        <f>352/1667</f>
        <v>0.21115776844631073</v>
      </c>
    </row>
    <row r="11" spans="1:5" x14ac:dyDescent="0.2">
      <c r="A11" s="373" t="s">
        <v>379</v>
      </c>
      <c r="B11" s="373"/>
      <c r="C11" s="373"/>
      <c r="D11" s="373"/>
      <c r="E11" s="373"/>
    </row>
    <row r="12" spans="1:5" x14ac:dyDescent="0.2">
      <c r="A12" s="368" t="s">
        <v>380</v>
      </c>
      <c r="B12" s="368"/>
      <c r="C12" s="45" t="s">
        <v>381</v>
      </c>
      <c r="D12" s="45" t="s">
        <v>382</v>
      </c>
      <c r="E12" s="45" t="s">
        <v>13</v>
      </c>
    </row>
    <row r="13" spans="1:5" ht="30.75" customHeight="1" x14ac:dyDescent="0.2">
      <c r="A13" s="369" t="s">
        <v>383</v>
      </c>
      <c r="B13" s="369"/>
      <c r="C13" s="95">
        <f>'TPU MAR-24'!$D$10</f>
        <v>31827.01</v>
      </c>
      <c r="D13" s="141">
        <f>SUM(B4:B7)</f>
        <v>2.7511577684463107</v>
      </c>
      <c r="E13" s="95">
        <f>C13*D13</f>
        <v>87561.125807918404</v>
      </c>
    </row>
    <row r="14" spans="1:5" ht="39.75" customHeight="1" x14ac:dyDescent="0.2">
      <c r="A14" s="369" t="s">
        <v>384</v>
      </c>
      <c r="B14" s="369"/>
      <c r="C14" s="95">
        <f>'TPU MAR-24'!$D$9*36</f>
        <v>28536.12</v>
      </c>
      <c r="D14" s="141">
        <f>SUM(B4:B7)</f>
        <v>2.7511577684463107</v>
      </c>
      <c r="E14" s="95">
        <f>C14*D14</f>
        <v>78507.368219316137</v>
      </c>
    </row>
    <row r="15" spans="1:5" x14ac:dyDescent="0.2">
      <c r="A15" s="357" t="s">
        <v>385</v>
      </c>
      <c r="B15" s="357"/>
      <c r="C15" s="357"/>
      <c r="D15" s="357"/>
      <c r="E15" s="142">
        <f>SUM(E13:E14)</f>
        <v>166068.49402723456</v>
      </c>
    </row>
  </sheetData>
  <mergeCells count="7">
    <mergeCell ref="A12:B12"/>
    <mergeCell ref="A13:B13"/>
    <mergeCell ref="A14:B14"/>
    <mergeCell ref="A15:D15"/>
    <mergeCell ref="B1:B2"/>
    <mergeCell ref="A1:A3"/>
    <mergeCell ref="A11:E11"/>
  </mergeCells>
  <pageMargins left="0.511811024" right="0.511811024" top="0.78740157499999996" bottom="0.78740157499999996" header="0.31496062000000002" footer="0.31496062000000002"/>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16</vt:i4>
      </vt:variant>
      <vt:variant>
        <vt:lpstr>Intervalos Nomeados</vt:lpstr>
      </vt:variant>
      <vt:variant>
        <vt:i4>1</vt:i4>
      </vt:variant>
    </vt:vector>
  </HeadingPairs>
  <TitlesOfParts>
    <vt:vector size="17" baseType="lpstr">
      <vt:lpstr>RESUMO</vt:lpstr>
      <vt:lpstr>Q4B</vt:lpstr>
      <vt:lpstr>Q9B</vt:lpstr>
      <vt:lpstr>CAPEX</vt:lpstr>
      <vt:lpstr>OPEX</vt:lpstr>
      <vt:lpstr>MEMO_OPEX</vt:lpstr>
      <vt:lpstr>MEMO CAPEX_1</vt:lpstr>
      <vt:lpstr>MEMO CAPEX_2</vt:lpstr>
      <vt:lpstr>MEMO CAPEX_3</vt:lpstr>
      <vt:lpstr>MEMO CAPEX_5</vt:lpstr>
      <vt:lpstr>MEMO CAPEX_6</vt:lpstr>
      <vt:lpstr>MEMO CAPEX_7</vt:lpstr>
      <vt:lpstr>MEMO_Obras_Mitigação</vt:lpstr>
      <vt:lpstr>Taxa Licenciamento</vt:lpstr>
      <vt:lpstr>TPU MAR-24</vt:lpstr>
      <vt:lpstr>SIEC-CPTM</vt:lpstr>
      <vt:lpstr>'SIEC-CPTM'!Titulos_de_impressao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2024-06-28T22:18:40Z</dcterms:modified>
  <cp:category/>
  <cp:contentStatus/>
</cp:coreProperties>
</file>